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Árnína Björg\Documents\Privat\Sérfr.vinna\Félagsmálaráðuneytið\"/>
    </mc:Choice>
  </mc:AlternateContent>
  <xr:revisionPtr revIDLastSave="0" documentId="13_ncr:1_{1622AD0B-13BA-4A11-AAB8-2F2B46ECB2AF}" xr6:coauthVersionLast="47" xr6:coauthVersionMax="47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Flokkun" sheetId="9" r:id="rId1"/>
    <sheet name="Sérstök umsýsla" sheetId="12" r:id="rId2"/>
    <sheet name="Kostn.líkan - Sundurliðun" sheetId="29" r:id="rId3"/>
    <sheet name="Kostn.líkan - Samandregið" sheetId="37" r:id="rId4"/>
    <sheet name="Kostn.líkan - Alls" sheetId="30" r:id="rId5"/>
    <sheet name="Uppgjör" sheetId="38" r:id="rId6"/>
    <sheet name="Kostnaður Áætlun" sheetId="27" r:id="rId7"/>
    <sheet name="Forsendur Áætlun" sheetId="21" r:id="rId8"/>
  </sheets>
  <definedNames>
    <definedName name="ALEinst">'Forsendur Áætlun'!$B$39</definedName>
    <definedName name="ALFull">'Forsendur Áætlun'!$B$29</definedName>
    <definedName name="ALHjon">'Forsendur Áætlun'!$B$40</definedName>
    <definedName name="Ar1AL">'Forsendur Áætlun'!$B$28</definedName>
    <definedName name="Ar1FJ">'Forsendur Áætlun'!$C$28</definedName>
    <definedName name="Ar1Kv">'Forsendur Áætlun'!$D$28</definedName>
    <definedName name="FJEinst">'Forsendur Áætlun'!$C$39</definedName>
    <definedName name="FJFull">'Forsendur Áætlun'!$C$29</definedName>
    <definedName name="FJHjon">'Forsendur Áætlun'!$C$40</definedName>
    <definedName name="FjMala_Ar1">'Forsendur Áætlun'!$B$67:$D$69</definedName>
    <definedName name="FjMala_Ar2">'Forsendur Áætlun'!$B$71:$D$73</definedName>
    <definedName name="FjMala_Ar3">'Forsendur Áætlun'!$B$75:$D$77</definedName>
    <definedName name="GrPrFjolsk_Ar1">'Forsendur Áætlun'!$B$79:$D$81</definedName>
    <definedName name="GrPrFjolsk_Ar2">'Forsendur Áætlun'!$B$83:$D$85</definedName>
    <definedName name="GrPrFjolsk_Ar3">'Forsendur Áætlun'!$B$87:$D$89</definedName>
    <definedName name="KVEinst">'Forsendur Áætlun'!$D$39</definedName>
    <definedName name="KVFull">'Forsendur Áætlun'!$D$29</definedName>
    <definedName name="KVHjon">'Forsendur Áætlun'!$D$40</definedName>
    <definedName name="LaunKlst">'Forsendur Áætlun'!$B$4</definedName>
    <definedName name="Starfshlutf_Ar1">'Forsendur Áætlun'!$B$55:$D$57</definedName>
    <definedName name="Starfshlutf_Ar2">'Forsendur Áætlun'!$B$59:$D$61</definedName>
    <definedName name="VinnustPrFjolsk_Ar1">'Forsendur Áætlun'!$B$43:$D$45</definedName>
    <definedName name="VinnustPrFjolsk_Ar2">'Forsendur Áætlun'!$B$47:$D$49</definedName>
    <definedName name="VinnustPrFjolsk_Ar3">'Forsendur Áætlun'!$B$51:$D$53</definedName>
    <definedName name="VirkarVinnustPrMan">'Forsendur Áætlun'!$B$5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30" l="1"/>
  <c r="H5" i="30"/>
  <c r="I5" i="30"/>
  <c r="J5" i="30"/>
  <c r="K5" i="30"/>
  <c r="L5" i="30"/>
  <c r="M5" i="30"/>
  <c r="N5" i="30"/>
  <c r="E29" i="30" s="1"/>
  <c r="O5" i="30"/>
  <c r="P5" i="30"/>
  <c r="R5" i="30"/>
  <c r="S5" i="30"/>
  <c r="T5" i="30"/>
  <c r="B6" i="30"/>
  <c r="C6" i="30"/>
  <c r="E6" i="30"/>
  <c r="H6" i="30"/>
  <c r="I6" i="30"/>
  <c r="J6" i="30"/>
  <c r="K6" i="30"/>
  <c r="L6" i="30"/>
  <c r="M6" i="30"/>
  <c r="D6" i="30" s="1"/>
  <c r="N6" i="30"/>
  <c r="O6" i="30"/>
  <c r="P6" i="30"/>
  <c r="R6" i="30"/>
  <c r="S6" i="30"/>
  <c r="T6" i="30"/>
  <c r="F6" i="30" s="1"/>
  <c r="B7" i="30"/>
  <c r="C7" i="30"/>
  <c r="E7" i="30"/>
  <c r="H7" i="30"/>
  <c r="I7" i="30"/>
  <c r="J7" i="30"/>
  <c r="K7" i="30"/>
  <c r="L7" i="30"/>
  <c r="M7" i="30"/>
  <c r="D7" i="30" s="1"/>
  <c r="N7" i="30"/>
  <c r="O7" i="30"/>
  <c r="P7" i="30"/>
  <c r="R7" i="30"/>
  <c r="S7" i="30"/>
  <c r="T7" i="30"/>
  <c r="F7" i="30" s="1"/>
  <c r="B9" i="30"/>
  <c r="E9" i="30"/>
  <c r="H9" i="30"/>
  <c r="I9" i="30"/>
  <c r="J9" i="30"/>
  <c r="C9" i="30" s="1"/>
  <c r="K9" i="30"/>
  <c r="L9" i="30"/>
  <c r="M9" i="30"/>
  <c r="D9" i="30" s="1"/>
  <c r="N9" i="30"/>
  <c r="O9" i="30"/>
  <c r="P9" i="30"/>
  <c r="R9" i="30"/>
  <c r="S9" i="30"/>
  <c r="T9" i="30"/>
  <c r="F9" i="30" s="1"/>
  <c r="B10" i="30"/>
  <c r="H10" i="30"/>
  <c r="I10" i="30"/>
  <c r="J10" i="30"/>
  <c r="C10" i="30" s="1"/>
  <c r="K10" i="30"/>
  <c r="L10" i="30"/>
  <c r="M10" i="30"/>
  <c r="D10" i="30" s="1"/>
  <c r="N10" i="30"/>
  <c r="O10" i="30"/>
  <c r="P10" i="30"/>
  <c r="E10" i="30" s="1"/>
  <c r="R10" i="30"/>
  <c r="S10" i="30"/>
  <c r="T10" i="30"/>
  <c r="F10" i="30" s="1"/>
  <c r="B11" i="30"/>
  <c r="F11" i="30"/>
  <c r="H11" i="30"/>
  <c r="I11" i="30"/>
  <c r="J11" i="30"/>
  <c r="C11" i="30" s="1"/>
  <c r="K11" i="30"/>
  <c r="L11" i="30"/>
  <c r="M11" i="30"/>
  <c r="D11" i="30" s="1"/>
  <c r="N11" i="30"/>
  <c r="O11" i="30"/>
  <c r="P11" i="30"/>
  <c r="E11" i="30" s="1"/>
  <c r="R11" i="30"/>
  <c r="S11" i="30"/>
  <c r="T11" i="30"/>
  <c r="F16" i="30"/>
  <c r="H16" i="30"/>
  <c r="I16" i="30"/>
  <c r="J16" i="30"/>
  <c r="C16" i="30" s="1"/>
  <c r="K16" i="30"/>
  <c r="L16" i="30"/>
  <c r="M16" i="30"/>
  <c r="D16" i="30" s="1"/>
  <c r="N16" i="30"/>
  <c r="O16" i="30"/>
  <c r="P16" i="30"/>
  <c r="E16" i="30" s="1"/>
  <c r="R16" i="30"/>
  <c r="S16" i="30"/>
  <c r="T16" i="30"/>
  <c r="C29" i="30"/>
  <c r="D29" i="30"/>
  <c r="D30" i="30"/>
  <c r="H30" i="30" s="1"/>
  <c r="E30" i="30"/>
  <c r="F30" i="30"/>
  <c r="C31" i="30"/>
  <c r="F31" i="30"/>
  <c r="C17" i="21"/>
  <c r="C16" i="21"/>
  <c r="B5" i="21"/>
  <c r="O66" i="29"/>
  <c r="O42" i="29"/>
  <c r="F34" i="12"/>
  <c r="C19" i="21"/>
  <c r="C15" i="21"/>
  <c r="B4" i="21"/>
  <c r="B3" i="21"/>
  <c r="B2" i="21"/>
  <c r="H29" i="30" l="1"/>
  <c r="E31" i="30"/>
  <c r="D31" i="30"/>
  <c r="H31" i="30" s="1"/>
  <c r="C24" i="21"/>
  <c r="C10" i="21" s="1"/>
  <c r="B21" i="21"/>
  <c r="B22" i="21" l="1"/>
  <c r="F21" i="38" l="1"/>
  <c r="F19" i="38"/>
  <c r="F18" i="38"/>
  <c r="F17" i="38"/>
  <c r="F15" i="38"/>
  <c r="F14" i="38"/>
  <c r="F13" i="38"/>
  <c r="C59" i="29" l="1"/>
  <c r="C47" i="29"/>
  <c r="C22" i="29"/>
  <c r="C10" i="29"/>
  <c r="B33" i="12"/>
  <c r="L7" i="12"/>
  <c r="H23" i="12"/>
  <c r="H22" i="12"/>
  <c r="F23" i="12"/>
  <c r="F22" i="12"/>
  <c r="H34" i="12"/>
  <c r="F40" i="12"/>
  <c r="H40" i="12" s="1"/>
  <c r="D47" i="27"/>
  <c r="D46" i="27"/>
  <c r="D45" i="27"/>
  <c r="D43" i="27"/>
  <c r="D42" i="27"/>
  <c r="D41" i="27"/>
  <c r="E55" i="27" l="1"/>
  <c r="E54" i="27"/>
  <c r="E56" i="27"/>
  <c r="E58" i="27"/>
  <c r="E59" i="27"/>
  <c r="E60" i="27"/>
  <c r="E62" i="27"/>
  <c r="E63" i="27"/>
  <c r="E64" i="27"/>
  <c r="D40" i="21" l="1"/>
  <c r="C40" i="21"/>
  <c r="D39" i="21"/>
  <c r="C39" i="21"/>
  <c r="B40" i="21"/>
  <c r="B39" i="21"/>
  <c r="E3" i="27"/>
  <c r="F3" i="27"/>
  <c r="G3" i="27"/>
  <c r="H3" i="27"/>
  <c r="G18" i="27"/>
  <c r="H19" i="27"/>
  <c r="H34" i="27" s="1"/>
  <c r="G19" i="27"/>
  <c r="G34" i="27" s="1"/>
  <c r="F19" i="27"/>
  <c r="F34" i="27" s="1"/>
  <c r="E19" i="27"/>
  <c r="E34" i="27" s="1"/>
  <c r="H18" i="27"/>
  <c r="F18" i="27"/>
  <c r="E18" i="27"/>
  <c r="C16" i="27"/>
  <c r="H16" i="27" s="1"/>
  <c r="H30" i="27" s="1"/>
  <c r="C15" i="27"/>
  <c r="E15" i="27" s="1"/>
  <c r="E11" i="27"/>
  <c r="E12" i="27" s="1"/>
  <c r="E22" i="27" s="1"/>
  <c r="E38" i="27" s="1"/>
  <c r="F11" i="27"/>
  <c r="F12" i="27" s="1"/>
  <c r="F22" i="27" s="1"/>
  <c r="F38" i="27" s="1"/>
  <c r="G11" i="27"/>
  <c r="G12" i="27" s="1"/>
  <c r="G22" i="27" s="1"/>
  <c r="G38" i="27" s="1"/>
  <c r="H11" i="27"/>
  <c r="H12" i="27" s="1"/>
  <c r="H22" i="27" s="1"/>
  <c r="H38" i="27" s="1"/>
  <c r="D11" i="27"/>
  <c r="D12" i="27" s="1"/>
  <c r="D22" i="27" s="1"/>
  <c r="D38" i="27" s="1"/>
  <c r="D9" i="27"/>
  <c r="D19" i="27" s="1"/>
  <c r="D34" i="27" s="1"/>
  <c r="D8" i="27"/>
  <c r="D18" i="27" s="1"/>
  <c r="D6" i="27"/>
  <c r="D5" i="27"/>
  <c r="E47" i="27" l="1"/>
  <c r="H47" i="27"/>
  <c r="E51" i="27"/>
  <c r="F51" i="27"/>
  <c r="H51" i="27"/>
  <c r="F47" i="27"/>
  <c r="G51" i="27"/>
  <c r="G47" i="27"/>
  <c r="D15" i="27"/>
  <c r="D29" i="27" s="1"/>
  <c r="H32" i="27"/>
  <c r="E33" i="27"/>
  <c r="D33" i="27"/>
  <c r="E28" i="27"/>
  <c r="E32" i="27"/>
  <c r="G32" i="27"/>
  <c r="D32" i="27"/>
  <c r="F32" i="27"/>
  <c r="E29" i="27"/>
  <c r="H33" i="27"/>
  <c r="G33" i="27"/>
  <c r="F33" i="27"/>
  <c r="D16" i="27"/>
  <c r="D30" i="27" s="1"/>
  <c r="G16" i="27"/>
  <c r="G30" i="27" s="1"/>
  <c r="F16" i="27"/>
  <c r="F30" i="27" s="1"/>
  <c r="H21" i="27"/>
  <c r="E16" i="27"/>
  <c r="E30" i="27" s="1"/>
  <c r="G21" i="27"/>
  <c r="H15" i="27"/>
  <c r="D3" i="27"/>
  <c r="F15" i="27"/>
  <c r="F21" i="27"/>
  <c r="G15" i="27"/>
  <c r="D21" i="27"/>
  <c r="E21" i="27"/>
  <c r="H43" i="27" l="1"/>
  <c r="H60" i="27"/>
  <c r="H46" i="27"/>
  <c r="F41" i="27"/>
  <c r="H64" i="27"/>
  <c r="F64" i="27"/>
  <c r="E43" i="27"/>
  <c r="D28" i="27"/>
  <c r="E46" i="27"/>
  <c r="F45" i="27"/>
  <c r="F43" i="27"/>
  <c r="F46" i="27"/>
  <c r="G60" i="27"/>
  <c r="E45" i="27"/>
  <c r="G64" i="27"/>
  <c r="G46" i="27"/>
  <c r="F42" i="27"/>
  <c r="H45" i="27"/>
  <c r="G43" i="27"/>
  <c r="G45" i="27"/>
  <c r="E42" i="27"/>
  <c r="F60" i="27"/>
  <c r="H29" i="27"/>
  <c r="H28" i="27"/>
  <c r="F28" i="27"/>
  <c r="F29" i="27"/>
  <c r="G37" i="27"/>
  <c r="G36" i="27"/>
  <c r="E36" i="27"/>
  <c r="E37" i="27"/>
  <c r="D37" i="27"/>
  <c r="D36" i="27"/>
  <c r="G28" i="27"/>
  <c r="G29" i="27"/>
  <c r="H37" i="27"/>
  <c r="H36" i="27"/>
  <c r="F37" i="27"/>
  <c r="F36" i="27"/>
  <c r="F59" i="27" l="1"/>
  <c r="H42" i="27"/>
  <c r="H41" i="27"/>
  <c r="E49" i="27"/>
  <c r="F56" i="27"/>
  <c r="G55" i="27"/>
  <c r="G42" i="27"/>
  <c r="G54" i="27"/>
  <c r="H59" i="27"/>
  <c r="E50" i="27"/>
  <c r="H56" i="27"/>
  <c r="G56" i="27"/>
  <c r="G41" i="27"/>
  <c r="G49" i="27"/>
  <c r="H50" i="27"/>
  <c r="F55" i="27"/>
  <c r="E41" i="27"/>
  <c r="H58" i="27"/>
  <c r="G59" i="27"/>
  <c r="F50" i="27"/>
  <c r="G50" i="27"/>
  <c r="F49" i="27"/>
  <c r="F58" i="27"/>
  <c r="G58" i="27"/>
  <c r="H49" i="27"/>
  <c r="F62" i="27" l="1"/>
  <c r="H55" i="27"/>
  <c r="G62" i="27"/>
  <c r="H62" i="27"/>
  <c r="F63" i="27"/>
  <c r="G63" i="27"/>
  <c r="H63" i="27"/>
  <c r="F54" i="27"/>
  <c r="H54" i="27"/>
  <c r="C5" i="38" l="1"/>
  <c r="C4" i="38" l="1"/>
  <c r="D84" i="29" l="1"/>
  <c r="D85" i="29" s="1"/>
  <c r="E84" i="29"/>
  <c r="F84" i="29"/>
  <c r="G84" i="29"/>
  <c r="H84" i="29"/>
  <c r="I84" i="29"/>
  <c r="I85" i="29" s="1"/>
  <c r="J84" i="29"/>
  <c r="J85" i="29" s="1"/>
  <c r="T79" i="29" s="1"/>
  <c r="K84" i="29"/>
  <c r="K85" i="29" s="1"/>
  <c r="L84" i="29"/>
  <c r="L85" i="29" s="1"/>
  <c r="W79" i="29" s="1"/>
  <c r="M84" i="29"/>
  <c r="M85" i="29" s="1"/>
  <c r="C84" i="29"/>
  <c r="H85" i="29"/>
  <c r="E85" i="29"/>
  <c r="G85" i="29"/>
  <c r="F85" i="29"/>
  <c r="D23" i="29"/>
  <c r="E23" i="29"/>
  <c r="F23" i="29"/>
  <c r="G23" i="29"/>
  <c r="H23" i="29"/>
  <c r="I23" i="29"/>
  <c r="J23" i="29"/>
  <c r="T17" i="29" s="1"/>
  <c r="K23" i="29"/>
  <c r="L23" i="29"/>
  <c r="M23" i="29"/>
  <c r="C23" i="29"/>
  <c r="D11" i="29"/>
  <c r="E11" i="29"/>
  <c r="F11" i="29"/>
  <c r="G11" i="29"/>
  <c r="H11" i="29"/>
  <c r="I11" i="29"/>
  <c r="J11" i="29"/>
  <c r="K11" i="29"/>
  <c r="L11" i="29"/>
  <c r="M11" i="29"/>
  <c r="W5" i="29" s="1"/>
  <c r="C11" i="29"/>
  <c r="D60" i="29"/>
  <c r="E60" i="29"/>
  <c r="F60" i="29"/>
  <c r="G60" i="29"/>
  <c r="H60" i="29"/>
  <c r="I60" i="29"/>
  <c r="J60" i="29"/>
  <c r="T54" i="29" s="1"/>
  <c r="K60" i="29"/>
  <c r="L60" i="29"/>
  <c r="M60" i="29"/>
  <c r="C60" i="29"/>
  <c r="D48" i="29"/>
  <c r="E48" i="29"/>
  <c r="F48" i="29"/>
  <c r="G48" i="29"/>
  <c r="H48" i="29"/>
  <c r="I48" i="29"/>
  <c r="J48" i="29"/>
  <c r="K48" i="29"/>
  <c r="L48" i="29"/>
  <c r="M48" i="29"/>
  <c r="C48" i="29"/>
  <c r="X54" i="29"/>
  <c r="U54" i="29"/>
  <c r="R54" i="29"/>
  <c r="X42" i="29"/>
  <c r="U42" i="29"/>
  <c r="R42" i="29"/>
  <c r="W66" i="29"/>
  <c r="U66" i="29"/>
  <c r="T66" i="29"/>
  <c r="W29" i="29"/>
  <c r="T29" i="29"/>
  <c r="U29" i="29"/>
  <c r="X17" i="29"/>
  <c r="U17" i="29"/>
  <c r="R17" i="29"/>
  <c r="X5" i="29"/>
  <c r="U5" i="29"/>
  <c r="R5" i="29"/>
  <c r="Q5" i="29" l="1"/>
  <c r="Q79" i="29"/>
  <c r="T5" i="29"/>
  <c r="T42" i="29"/>
  <c r="C85" i="29"/>
  <c r="Q17" i="29"/>
  <c r="W42" i="29"/>
  <c r="W17" i="29"/>
  <c r="W54" i="29"/>
  <c r="Q54" i="29"/>
  <c r="Q42" i="29"/>
  <c r="C49" i="29"/>
  <c r="D71" i="29" l="1"/>
  <c r="D72" i="29" s="1"/>
  <c r="E71" i="29"/>
  <c r="F71" i="29"/>
  <c r="F72" i="29" s="1"/>
  <c r="G71" i="29"/>
  <c r="G72" i="29" s="1"/>
  <c r="H71" i="29"/>
  <c r="H72" i="29" s="1"/>
  <c r="C71" i="29"/>
  <c r="D34" i="29"/>
  <c r="E34" i="29"/>
  <c r="F34" i="29"/>
  <c r="G34" i="29"/>
  <c r="H34" i="29"/>
  <c r="C34" i="29"/>
  <c r="J11" i="37"/>
  <c r="M81" i="29"/>
  <c r="M86" i="29" s="1"/>
  <c r="L81" i="29"/>
  <c r="L86" i="29" s="1"/>
  <c r="K81" i="29"/>
  <c r="K86" i="29" s="1"/>
  <c r="J81" i="29"/>
  <c r="J86" i="29" s="1"/>
  <c r="I81" i="29"/>
  <c r="I86" i="29" s="1"/>
  <c r="H81" i="29"/>
  <c r="H86" i="29" s="1"/>
  <c r="G81" i="29"/>
  <c r="G86" i="29" s="1"/>
  <c r="F81" i="29"/>
  <c r="F86" i="29" s="1"/>
  <c r="E81" i="29"/>
  <c r="E86" i="29" s="1"/>
  <c r="D81" i="29"/>
  <c r="D86" i="29" s="1"/>
  <c r="C81" i="29"/>
  <c r="C86" i="29" s="1"/>
  <c r="B11" i="37"/>
  <c r="B7" i="37"/>
  <c r="M72" i="29"/>
  <c r="L72" i="29"/>
  <c r="K72" i="29"/>
  <c r="J72" i="29"/>
  <c r="I72" i="29"/>
  <c r="E72" i="29"/>
  <c r="M68" i="29"/>
  <c r="L68" i="29"/>
  <c r="V66" i="29" s="1"/>
  <c r="K68" i="29"/>
  <c r="J68" i="29"/>
  <c r="I68" i="29"/>
  <c r="H68" i="29"/>
  <c r="G68" i="29"/>
  <c r="F68" i="29"/>
  <c r="E68" i="29"/>
  <c r="D68" i="29"/>
  <c r="C68" i="29"/>
  <c r="K11" i="37"/>
  <c r="H11" i="37"/>
  <c r="G11" i="37"/>
  <c r="E11" i="37"/>
  <c r="L6" i="12"/>
  <c r="S66" i="29" l="1"/>
  <c r="F11" i="37" s="1"/>
  <c r="P66" i="29"/>
  <c r="C11" i="37" s="1"/>
  <c r="S79" i="29"/>
  <c r="P79" i="29"/>
  <c r="Z79" i="29" s="1"/>
  <c r="V79" i="29"/>
  <c r="AF79" i="29" s="1"/>
  <c r="C72" i="29"/>
  <c r="C73" i="29" s="1"/>
  <c r="Q66" i="29"/>
  <c r="D11" i="37" s="1"/>
  <c r="M11" i="37" s="1"/>
  <c r="Q29" i="29"/>
  <c r="L73" i="29"/>
  <c r="F73" i="29"/>
  <c r="K73" i="29"/>
  <c r="AC79" i="29"/>
  <c r="J73" i="29"/>
  <c r="D73" i="29"/>
  <c r="N11" i="37"/>
  <c r="H73" i="29"/>
  <c r="M73" i="29"/>
  <c r="I11" i="37"/>
  <c r="G73" i="29"/>
  <c r="E73" i="29"/>
  <c r="I73" i="29"/>
  <c r="AF66" i="29" l="1"/>
  <c r="AC66" i="29"/>
  <c r="AJ79" i="29"/>
  <c r="D32" i="38"/>
  <c r="L11" i="37"/>
  <c r="Z66" i="29"/>
  <c r="C45" i="21" l="1"/>
  <c r="C32" i="38"/>
  <c r="C53" i="21"/>
  <c r="E32" i="38"/>
  <c r="F32" i="38" s="1"/>
  <c r="D49" i="21"/>
  <c r="N47" i="27" s="1"/>
  <c r="D30" i="38"/>
  <c r="D53" i="21"/>
  <c r="J60" i="27" s="1"/>
  <c r="E30" i="38"/>
  <c r="J38" i="27"/>
  <c r="L38" i="27"/>
  <c r="N38" i="27"/>
  <c r="K38" i="27"/>
  <c r="M38" i="27"/>
  <c r="N33" i="27"/>
  <c r="L33" i="27"/>
  <c r="K33" i="27"/>
  <c r="M33" i="27"/>
  <c r="J64" i="27"/>
  <c r="K64" i="27"/>
  <c r="L64" i="27"/>
  <c r="M64" i="27"/>
  <c r="N64" i="27"/>
  <c r="C49" i="21"/>
  <c r="AJ66" i="29"/>
  <c r="O11" i="37"/>
  <c r="K47" i="27" l="1"/>
  <c r="D45" i="21"/>
  <c r="C30" i="38"/>
  <c r="N60" i="27"/>
  <c r="J47" i="27"/>
  <c r="M47" i="27"/>
  <c r="F30" i="38"/>
  <c r="L47" i="27"/>
  <c r="M60" i="27"/>
  <c r="L60" i="27"/>
  <c r="K60" i="27"/>
  <c r="N34" i="27"/>
  <c r="L34" i="27"/>
  <c r="J34" i="27"/>
  <c r="K34" i="27"/>
  <c r="M34" i="27"/>
  <c r="J51" i="27"/>
  <c r="M51" i="27"/>
  <c r="L51" i="27"/>
  <c r="N51" i="27"/>
  <c r="K51" i="27"/>
  <c r="K10" i="37"/>
  <c r="J10" i="37"/>
  <c r="H10" i="37"/>
  <c r="G10" i="37"/>
  <c r="E10" i="37"/>
  <c r="D10" i="37"/>
  <c r="O54" i="29"/>
  <c r="B10" i="37" s="1"/>
  <c r="K9" i="37"/>
  <c r="J9" i="37"/>
  <c r="H9" i="37"/>
  <c r="G9" i="37"/>
  <c r="E9" i="37"/>
  <c r="D9" i="37"/>
  <c r="B9" i="37"/>
  <c r="K7" i="37"/>
  <c r="J7" i="37"/>
  <c r="H7" i="37"/>
  <c r="G7" i="37"/>
  <c r="E7" i="37"/>
  <c r="D7" i="37"/>
  <c r="O29" i="29"/>
  <c r="K6" i="37"/>
  <c r="J6" i="37"/>
  <c r="H6" i="37"/>
  <c r="G6" i="37"/>
  <c r="E6" i="37"/>
  <c r="D6" i="37"/>
  <c r="O17" i="29"/>
  <c r="B6" i="37" s="1"/>
  <c r="E5" i="37"/>
  <c r="D5" i="37"/>
  <c r="K5" i="37"/>
  <c r="H5" i="37"/>
  <c r="G5" i="37"/>
  <c r="O5" i="29"/>
  <c r="B5" i="37" s="1"/>
  <c r="J5" i="37"/>
  <c r="M7" i="37" l="1"/>
  <c r="N7" i="37"/>
  <c r="M9" i="37"/>
  <c r="M6" i="37"/>
  <c r="N6" i="37"/>
  <c r="M5" i="37"/>
  <c r="N5" i="37"/>
  <c r="N9" i="37"/>
  <c r="N10" i="37"/>
  <c r="M10" i="37"/>
  <c r="D35" i="29" l="1"/>
  <c r="E35" i="29"/>
  <c r="F35" i="29"/>
  <c r="G35" i="29"/>
  <c r="H35" i="29"/>
  <c r="I35" i="29"/>
  <c r="J35" i="29"/>
  <c r="K35" i="29"/>
  <c r="L35" i="29"/>
  <c r="M35" i="29"/>
  <c r="C35" i="29"/>
  <c r="M61" i="29" l="1"/>
  <c r="L61" i="29"/>
  <c r="K61" i="29"/>
  <c r="J61" i="29"/>
  <c r="I61" i="29"/>
  <c r="H61" i="29"/>
  <c r="G61" i="29"/>
  <c r="F61" i="29"/>
  <c r="E61" i="29"/>
  <c r="D61" i="29"/>
  <c r="C61" i="29"/>
  <c r="M56" i="29"/>
  <c r="L56" i="29"/>
  <c r="K56" i="29"/>
  <c r="J56" i="29"/>
  <c r="I56" i="29"/>
  <c r="H56" i="29"/>
  <c r="G56" i="29"/>
  <c r="F56" i="29"/>
  <c r="E56" i="29"/>
  <c r="D56" i="29"/>
  <c r="C56" i="29"/>
  <c r="M49" i="29"/>
  <c r="L49" i="29"/>
  <c r="K49" i="29"/>
  <c r="J49" i="29"/>
  <c r="I49" i="29"/>
  <c r="H49" i="29"/>
  <c r="G49" i="29"/>
  <c r="F49" i="29"/>
  <c r="E49" i="29"/>
  <c r="D49" i="29"/>
  <c r="M44" i="29"/>
  <c r="L44" i="29"/>
  <c r="V42" i="29" s="1"/>
  <c r="K44" i="29"/>
  <c r="J44" i="29"/>
  <c r="I44" i="29"/>
  <c r="H44" i="29"/>
  <c r="G44" i="29"/>
  <c r="F44" i="29"/>
  <c r="E44" i="29"/>
  <c r="D44" i="29"/>
  <c r="C44" i="29"/>
  <c r="M24" i="29"/>
  <c r="L24" i="29"/>
  <c r="K24" i="29"/>
  <c r="J24" i="29"/>
  <c r="I24" i="29"/>
  <c r="H24" i="29"/>
  <c r="G24" i="29"/>
  <c r="F24" i="29"/>
  <c r="E24" i="29"/>
  <c r="D24" i="29"/>
  <c r="C24" i="29"/>
  <c r="M19" i="29"/>
  <c r="L19" i="29"/>
  <c r="K19" i="29"/>
  <c r="J19" i="29"/>
  <c r="I19" i="29"/>
  <c r="H19" i="29"/>
  <c r="G19" i="29"/>
  <c r="F19" i="29"/>
  <c r="E19" i="29"/>
  <c r="D19" i="29"/>
  <c r="C19" i="29"/>
  <c r="S54" i="29" l="1"/>
  <c r="V17" i="29"/>
  <c r="V54" i="29"/>
  <c r="P54" i="29"/>
  <c r="C10" i="37" s="1"/>
  <c r="P42" i="29"/>
  <c r="C9" i="37" s="1"/>
  <c r="S42" i="29"/>
  <c r="F9" i="37" s="1"/>
  <c r="P17" i="29"/>
  <c r="C6" i="37" s="1"/>
  <c r="S17" i="29"/>
  <c r="F6" i="37" s="1"/>
  <c r="I6" i="37"/>
  <c r="I10" i="37"/>
  <c r="F10" i="37"/>
  <c r="E62" i="29"/>
  <c r="M62" i="29"/>
  <c r="I9" i="37"/>
  <c r="J50" i="29"/>
  <c r="M50" i="29"/>
  <c r="G62" i="29"/>
  <c r="L25" i="29"/>
  <c r="H62" i="29"/>
  <c r="F62" i="29"/>
  <c r="C50" i="29"/>
  <c r="J62" i="29"/>
  <c r="I62" i="29"/>
  <c r="I50" i="29"/>
  <c r="L50" i="29"/>
  <c r="D62" i="29"/>
  <c r="L62" i="29"/>
  <c r="C25" i="29"/>
  <c r="K25" i="29"/>
  <c r="C62" i="29"/>
  <c r="K62" i="29"/>
  <c r="D50" i="29"/>
  <c r="E25" i="29"/>
  <c r="M25" i="29"/>
  <c r="K50" i="29"/>
  <c r="E50" i="29"/>
  <c r="F50" i="29"/>
  <c r="G50" i="29"/>
  <c r="H50" i="29"/>
  <c r="F25" i="29"/>
  <c r="G25" i="29"/>
  <c r="H25" i="29"/>
  <c r="J25" i="29"/>
  <c r="I25" i="29"/>
  <c r="D25" i="29"/>
  <c r="AF54" i="29" l="1"/>
  <c r="Z54" i="29"/>
  <c r="AC54" i="29"/>
  <c r="L10" i="37"/>
  <c r="L6" i="37"/>
  <c r="L9" i="37"/>
  <c r="C31" i="29"/>
  <c r="M31" i="29"/>
  <c r="M36" i="29" s="1"/>
  <c r="L31" i="29"/>
  <c r="K31" i="29"/>
  <c r="J31" i="29"/>
  <c r="S29" i="29" s="1"/>
  <c r="I31" i="29"/>
  <c r="H31" i="29"/>
  <c r="G31" i="29"/>
  <c r="F31" i="29"/>
  <c r="E31" i="29"/>
  <c r="D31" i="29"/>
  <c r="C12" i="29"/>
  <c r="M12" i="29"/>
  <c r="L12" i="29"/>
  <c r="K12" i="29"/>
  <c r="J12" i="29"/>
  <c r="I12" i="29"/>
  <c r="H12" i="29"/>
  <c r="G12" i="29"/>
  <c r="F12" i="29"/>
  <c r="E12" i="29"/>
  <c r="D12" i="29"/>
  <c r="M7" i="29"/>
  <c r="L7" i="29"/>
  <c r="V5" i="29" s="1"/>
  <c r="K7" i="29"/>
  <c r="J7" i="29"/>
  <c r="I7" i="29"/>
  <c r="H7" i="29"/>
  <c r="G7" i="29"/>
  <c r="F7" i="29"/>
  <c r="E7" i="29"/>
  <c r="D7" i="29"/>
  <c r="C7" i="29"/>
  <c r="L25" i="12"/>
  <c r="L20" i="12"/>
  <c r="L19" i="12"/>
  <c r="L12" i="12"/>
  <c r="L8" i="12"/>
  <c r="S5" i="29" l="1"/>
  <c r="C13" i="29"/>
  <c r="V29" i="29"/>
  <c r="P5" i="29"/>
  <c r="C5" i="37" s="1"/>
  <c r="P29" i="29"/>
  <c r="C7" i="37" s="1"/>
  <c r="F5" i="37"/>
  <c r="O10" i="37"/>
  <c r="I7" i="37"/>
  <c r="F7" i="37"/>
  <c r="O6" i="37"/>
  <c r="O9" i="37"/>
  <c r="I5" i="37"/>
  <c r="K13" i="29"/>
  <c r="I13" i="29"/>
  <c r="E13" i="29"/>
  <c r="M13" i="29"/>
  <c r="I36" i="29"/>
  <c r="L21" i="12"/>
  <c r="L13" i="12"/>
  <c r="C36" i="29"/>
  <c r="K36" i="29"/>
  <c r="D36" i="29"/>
  <c r="L36" i="29"/>
  <c r="AF29" i="29" s="1"/>
  <c r="E36" i="29"/>
  <c r="G36" i="29"/>
  <c r="D13" i="29"/>
  <c r="L13" i="29"/>
  <c r="H36" i="29"/>
  <c r="F36" i="29"/>
  <c r="J36" i="29"/>
  <c r="G13" i="29"/>
  <c r="H13" i="29"/>
  <c r="F13" i="29"/>
  <c r="J13" i="29"/>
  <c r="L26" i="12"/>
  <c r="AC5" i="29" l="1"/>
  <c r="Z5" i="29"/>
  <c r="AF5" i="29"/>
  <c r="AC29" i="29"/>
  <c r="L7" i="37"/>
  <c r="Z29" i="29"/>
  <c r="L5" i="37"/>
  <c r="B53" i="21" l="1"/>
  <c r="E26" i="38"/>
  <c r="J56" i="27"/>
  <c r="K56" i="27"/>
  <c r="M56" i="27"/>
  <c r="N56" i="27"/>
  <c r="L56" i="27"/>
  <c r="AJ29" i="29"/>
  <c r="D26" i="38"/>
  <c r="O7" i="37"/>
  <c r="O5" i="37"/>
  <c r="B45" i="21" l="1"/>
  <c r="C26" i="38"/>
  <c r="F26" i="38" s="1"/>
  <c r="N30" i="27"/>
  <c r="N32" i="27"/>
  <c r="L30" i="27"/>
  <c r="K30" i="27"/>
  <c r="L32" i="27"/>
  <c r="M30" i="27"/>
  <c r="M32" i="27"/>
  <c r="J30" i="27"/>
  <c r="B49" i="21"/>
  <c r="J43" i="27" l="1"/>
  <c r="L43" i="27"/>
  <c r="K43" i="27"/>
  <c r="N43" i="27"/>
  <c r="M43" i="27"/>
  <c r="S26" i="12"/>
  <c r="R26" i="12"/>
  <c r="Q26" i="12"/>
  <c r="P26" i="12"/>
  <c r="O26" i="12"/>
  <c r="N26" i="12"/>
  <c r="M26" i="12"/>
  <c r="S13" i="12"/>
  <c r="R13" i="12"/>
  <c r="Q13" i="12"/>
  <c r="P13" i="12"/>
  <c r="O13" i="12"/>
  <c r="N13" i="12"/>
  <c r="M13" i="12"/>
  <c r="AF17" i="29" l="1"/>
  <c r="AF42" i="29"/>
  <c r="B51" i="21" l="1"/>
  <c r="E24" i="38"/>
  <c r="B52" i="21"/>
  <c r="B76" i="21" s="1"/>
  <c r="E25" i="38"/>
  <c r="D51" i="21"/>
  <c r="D75" i="21" s="1"/>
  <c r="E28" i="38"/>
  <c r="C52" i="21"/>
  <c r="J55" i="27"/>
  <c r="C51" i="21"/>
  <c r="J54" i="27"/>
  <c r="B75" i="21"/>
  <c r="K54" i="27"/>
  <c r="M54" i="27"/>
  <c r="L54" i="27"/>
  <c r="N54" i="27"/>
  <c r="C77" i="21"/>
  <c r="D77" i="21"/>
  <c r="B77" i="21"/>
  <c r="K58" i="27" l="1"/>
  <c r="J58" i="27"/>
  <c r="N55" i="27"/>
  <c r="M55" i="27"/>
  <c r="L55" i="27"/>
  <c r="L58" i="27"/>
  <c r="N58" i="27"/>
  <c r="M58" i="27"/>
  <c r="K55" i="27"/>
  <c r="D52" i="21"/>
  <c r="D76" i="21" s="1"/>
  <c r="E29" i="38"/>
  <c r="E34" i="38" s="1"/>
  <c r="E35" i="38" s="1"/>
  <c r="C75" i="21"/>
  <c r="J62" i="27"/>
  <c r="K62" i="27"/>
  <c r="L62" i="27"/>
  <c r="N62" i="27"/>
  <c r="M62" i="27"/>
  <c r="C76" i="21"/>
  <c r="J63" i="27"/>
  <c r="K63" i="27"/>
  <c r="N63" i="27"/>
  <c r="M63" i="27"/>
  <c r="L63" i="27"/>
  <c r="AG66" i="29"/>
  <c r="D65" i="21" s="1"/>
  <c r="AD79" i="29"/>
  <c r="C61" i="21" s="1"/>
  <c r="AA79" i="29"/>
  <c r="AG79" i="29"/>
  <c r="C65" i="21" s="1"/>
  <c r="AD66" i="29"/>
  <c r="D61" i="21" s="1"/>
  <c r="AA66" i="29"/>
  <c r="AG29" i="29"/>
  <c r="B65" i="21" s="1"/>
  <c r="AA29" i="29"/>
  <c r="AD29" i="29"/>
  <c r="B61" i="21" s="1"/>
  <c r="AG42" i="29"/>
  <c r="D63" i="21" s="1"/>
  <c r="AG17" i="29"/>
  <c r="B64" i="21" s="1"/>
  <c r="C64" i="21" s="1"/>
  <c r="AG54" i="29"/>
  <c r="D64" i="21" s="1"/>
  <c r="AG5" i="29"/>
  <c r="B63" i="21" s="1"/>
  <c r="C63" i="21" s="1"/>
  <c r="L59" i="27" l="1"/>
  <c r="J59" i="27"/>
  <c r="M59" i="27"/>
  <c r="N59" i="27"/>
  <c r="K59" i="27"/>
  <c r="D57" i="21"/>
  <c r="AK66" i="29"/>
  <c r="B57" i="21"/>
  <c r="AK29" i="29"/>
  <c r="C57" i="21"/>
  <c r="AK79" i="29"/>
  <c r="C15" i="12" l="1"/>
  <c r="C12" i="12"/>
  <c r="C11" i="12"/>
  <c r="C10" i="12"/>
  <c r="C9" i="12"/>
  <c r="C8" i="12"/>
  <c r="N8" i="12" l="1"/>
  <c r="O8" i="12"/>
  <c r="P8" i="12"/>
  <c r="Q8" i="12"/>
  <c r="R8" i="12"/>
  <c r="S8" i="12"/>
  <c r="M8" i="12"/>
  <c r="N21" i="12"/>
  <c r="O21" i="12"/>
  <c r="P21" i="12"/>
  <c r="Q21" i="12"/>
  <c r="R21" i="12"/>
  <c r="S21" i="12"/>
  <c r="M21" i="12"/>
  <c r="AC42" i="29" l="1"/>
  <c r="AC17" i="29"/>
  <c r="Z17" i="29"/>
  <c r="AA17" i="29" s="1"/>
  <c r="Z42" i="29"/>
  <c r="D43" i="21" l="1"/>
  <c r="C28" i="38"/>
  <c r="D47" i="21"/>
  <c r="M45" i="27" s="1"/>
  <c r="D28" i="38"/>
  <c r="J32" i="27"/>
  <c r="K32" i="27"/>
  <c r="J45" i="27"/>
  <c r="L45" i="27"/>
  <c r="AD42" i="29"/>
  <c r="D59" i="21" s="1"/>
  <c r="AJ42" i="29"/>
  <c r="AJ54" i="29"/>
  <c r="AA42" i="29"/>
  <c r="D55" i="21" s="1"/>
  <c r="AA54" i="29"/>
  <c r="D56" i="21" s="1"/>
  <c r="AD17" i="29"/>
  <c r="B60" i="21" s="1"/>
  <c r="C60" i="21" s="1"/>
  <c r="D25" i="38"/>
  <c r="AJ17" i="29"/>
  <c r="AD54" i="29"/>
  <c r="D60" i="21" s="1"/>
  <c r="B56" i="21"/>
  <c r="C56" i="21" s="1"/>
  <c r="F28" i="38" l="1"/>
  <c r="K45" i="27"/>
  <c r="N45" i="27"/>
  <c r="D44" i="21"/>
  <c r="J33" i="27" s="1"/>
  <c r="C29" i="38"/>
  <c r="B44" i="21"/>
  <c r="C44" i="21" s="1"/>
  <c r="C25" i="38"/>
  <c r="F25" i="38" s="1"/>
  <c r="D48" i="21"/>
  <c r="J46" i="27" s="1"/>
  <c r="D29" i="38"/>
  <c r="B48" i="21"/>
  <c r="AK42" i="29"/>
  <c r="AK17" i="29"/>
  <c r="AK54" i="29"/>
  <c r="M46" i="27" l="1"/>
  <c r="M29" i="27"/>
  <c r="N29" i="27"/>
  <c r="L29" i="27"/>
  <c r="K29" i="27"/>
  <c r="J29" i="27"/>
  <c r="L46" i="27"/>
  <c r="F29" i="38"/>
  <c r="N46" i="27"/>
  <c r="K46" i="27"/>
  <c r="K37" i="27"/>
  <c r="M37" i="27"/>
  <c r="N37" i="27"/>
  <c r="J37" i="27"/>
  <c r="L37" i="27"/>
  <c r="C48" i="21"/>
  <c r="J42" i="27"/>
  <c r="B84" i="21"/>
  <c r="K42" i="27"/>
  <c r="L42" i="27"/>
  <c r="N42" i="27"/>
  <c r="M42" i="27"/>
  <c r="AD5" i="29"/>
  <c r="B59" i="21" s="1"/>
  <c r="C59" i="21" s="1"/>
  <c r="C81" i="21" l="1"/>
  <c r="D80" i="21"/>
  <c r="B80" i="21"/>
  <c r="D81" i="21"/>
  <c r="C80" i="21"/>
  <c r="B81" i="21"/>
  <c r="D79" i="21"/>
  <c r="D85" i="21"/>
  <c r="D89" i="21"/>
  <c r="C89" i="21"/>
  <c r="C85" i="21"/>
  <c r="B89" i="21"/>
  <c r="B85" i="21"/>
  <c r="B87" i="21"/>
  <c r="D87" i="21"/>
  <c r="B88" i="21"/>
  <c r="C87" i="21"/>
  <c r="C88" i="21"/>
  <c r="D88" i="21"/>
  <c r="D83" i="21"/>
  <c r="D84" i="21"/>
  <c r="C84" i="21"/>
  <c r="J50" i="27"/>
  <c r="K50" i="27"/>
  <c r="N50" i="27"/>
  <c r="L50" i="27"/>
  <c r="M50" i="27"/>
  <c r="AH79" i="29"/>
  <c r="AE79" i="29"/>
  <c r="AB79" i="29"/>
  <c r="AE66" i="29"/>
  <c r="AH66" i="29"/>
  <c r="AB66" i="29"/>
  <c r="AH29" i="29"/>
  <c r="AE29" i="29"/>
  <c r="AB29" i="29"/>
  <c r="AE5" i="29"/>
  <c r="D24" i="38"/>
  <c r="AJ5" i="29"/>
  <c r="AB42" i="29"/>
  <c r="AE17" i="29"/>
  <c r="AB17" i="29"/>
  <c r="AB54" i="29"/>
  <c r="AE54" i="29"/>
  <c r="AH42" i="29"/>
  <c r="AE42" i="29"/>
  <c r="AH54" i="29"/>
  <c r="AH17" i="29"/>
  <c r="AH5" i="29"/>
  <c r="AB5" i="29"/>
  <c r="AA5" i="29"/>
  <c r="B43" i="21" l="1"/>
  <c r="B79" i="21" s="1"/>
  <c r="C24" i="38"/>
  <c r="C34" i="38" s="1"/>
  <c r="C35" i="38" s="1"/>
  <c r="D34" i="38"/>
  <c r="C43" i="21"/>
  <c r="B67" i="21"/>
  <c r="K28" i="27"/>
  <c r="M28" i="27"/>
  <c r="L28" i="27"/>
  <c r="N28" i="27"/>
  <c r="J28" i="27"/>
  <c r="C69" i="21"/>
  <c r="D69" i="21"/>
  <c r="B69" i="21"/>
  <c r="D67" i="21"/>
  <c r="D68" i="21"/>
  <c r="B68" i="21"/>
  <c r="C68" i="21"/>
  <c r="B47" i="21"/>
  <c r="AL66" i="29"/>
  <c r="AL79" i="29"/>
  <c r="AL29" i="29"/>
  <c r="B55" i="21"/>
  <c r="C55" i="21" s="1"/>
  <c r="AK5" i="29"/>
  <c r="AL54" i="29"/>
  <c r="AL42" i="29"/>
  <c r="AL5" i="29"/>
  <c r="AL17" i="29"/>
  <c r="F24" i="38" l="1"/>
  <c r="F34" i="38"/>
  <c r="D35" i="38"/>
  <c r="C67" i="21"/>
  <c r="N36" i="27"/>
  <c r="L36" i="27"/>
  <c r="M36" i="27"/>
  <c r="J36" i="27"/>
  <c r="K36" i="27"/>
  <c r="C79" i="21"/>
  <c r="C47" i="21"/>
  <c r="B71" i="21"/>
  <c r="B83" i="21"/>
  <c r="J41" i="27"/>
  <c r="L41" i="27"/>
  <c r="K41" i="27"/>
  <c r="M41" i="27"/>
  <c r="N41" i="27"/>
  <c r="D73" i="21"/>
  <c r="C73" i="21"/>
  <c r="B73" i="21"/>
  <c r="D71" i="21"/>
  <c r="D72" i="21"/>
  <c r="B72" i="21"/>
  <c r="C72" i="21"/>
  <c r="F35" i="38" l="1"/>
  <c r="C7" i="38"/>
  <c r="C8" i="38" s="1"/>
  <c r="J49" i="27"/>
  <c r="D23" i="27" s="1"/>
  <c r="D25" i="27" s="1"/>
  <c r="C83" i="21"/>
  <c r="C71" i="21"/>
  <c r="M49" i="27"/>
  <c r="G23" i="27" s="1"/>
  <c r="K49" i="27"/>
  <c r="E23" i="27" s="1"/>
  <c r="N49" i="27"/>
  <c r="H23" i="27" s="1"/>
  <c r="L49" i="27"/>
  <c r="F23" i="27" s="1"/>
  <c r="F24" i="27" l="1"/>
  <c r="F25" i="27"/>
  <c r="G24" i="27"/>
  <c r="G25" i="27"/>
  <c r="H24" i="27"/>
  <c r="H25" i="27"/>
  <c r="E24" i="27"/>
  <c r="E25" i="27"/>
  <c r="D24" i="27"/>
  <c r="B41" i="21"/>
  <c r="D41" i="21"/>
  <c r="C41" i="21"/>
  <c r="D37" i="21" l="1"/>
  <c r="C37" i="21"/>
  <c r="D31" i="21"/>
  <c r="C31" i="21"/>
  <c r="B31" i="21"/>
  <c r="B37" i="21"/>
</calcChain>
</file>

<file path=xl/sharedStrings.xml><?xml version="1.0" encoding="utf-8"?>
<sst xmlns="http://schemas.openxmlformats.org/spreadsheetml/2006/main" count="1030" uniqueCount="306">
  <si>
    <t>Fjöldi viðtala umfram grunn</t>
  </si>
  <si>
    <t>Einstaklingur með barn/börn</t>
  </si>
  <si>
    <t>Meðal laun félagsráðgjafa pr. mánuð</t>
  </si>
  <si>
    <t>Ár 1</t>
  </si>
  <si>
    <t>Ár 2</t>
  </si>
  <si>
    <t>mán. 1</t>
  </si>
  <si>
    <t>mán. 2</t>
  </si>
  <si>
    <t>mán. 3</t>
  </si>
  <si>
    <t>mán. 4</t>
  </si>
  <si>
    <t>mán. 5</t>
  </si>
  <si>
    <t>mán. 6</t>
  </si>
  <si>
    <t>mán. 1-6</t>
  </si>
  <si>
    <t>mán. 7-12</t>
  </si>
  <si>
    <t>Klst.</t>
  </si>
  <si>
    <t>Heilbrigðisskoðun</t>
  </si>
  <si>
    <t>Foreldrafærni</t>
  </si>
  <si>
    <t>Húsnæði</t>
  </si>
  <si>
    <t>Umsýsla</t>
  </si>
  <si>
    <t>Aðstoð við fjölskyldusameiningu</t>
  </si>
  <si>
    <t>Fjölskyldusameiningar</t>
  </si>
  <si>
    <t>Börn sameinast foreldri</t>
  </si>
  <si>
    <t>x</t>
  </si>
  <si>
    <t xml:space="preserve">Börn með foreldri að sameinast örðu foreldri </t>
  </si>
  <si>
    <t>Kvótaflóttafólk</t>
  </si>
  <si>
    <t>Tengslamyndun</t>
  </si>
  <si>
    <t>Málsstjóri/
Einstaklingsáætlun/
Félagsráðgjöf</t>
  </si>
  <si>
    <t>Frístundir / 
Skóli / 
Leikskóli</t>
  </si>
  <si>
    <t>Alls klst.</t>
  </si>
  <si>
    <t>% hlutf.</t>
  </si>
  <si>
    <t>Kostn.</t>
  </si>
  <si>
    <t>Einstaklingur án barna</t>
  </si>
  <si>
    <t>Alþjóðleg vernd</t>
  </si>
  <si>
    <t>Hjón/par án barna</t>
  </si>
  <si>
    <t>Hjón/par með barn/börn</t>
  </si>
  <si>
    <t>Foreldra að sameinast börnum</t>
  </si>
  <si>
    <t>Samtals</t>
  </si>
  <si>
    <t>Málastjóri</t>
  </si>
  <si>
    <t>Sérstök umsýsla umfram viðtöl</t>
  </si>
  <si>
    <t>Framkv. aðili</t>
  </si>
  <si>
    <t>Sérstök umsýsla samkv. lista</t>
  </si>
  <si>
    <t>Sérstök umsýsla vegna barna</t>
  </si>
  <si>
    <t>Alþjóðleg vernd - Komin  til landsins</t>
  </si>
  <si>
    <t>Kvótaflóttafólk - Ekki komin til landsins</t>
  </si>
  <si>
    <t>Ábyrgð</t>
  </si>
  <si>
    <t>Að finna húsnæði og standsetja</t>
  </si>
  <si>
    <t>Hlutfall fullorðinna</t>
  </si>
  <si>
    <t>Hlutfall barna</t>
  </si>
  <si>
    <t xml:space="preserve"> - Einst. án barna</t>
  </si>
  <si>
    <t xml:space="preserve"> - Einst. m börn</t>
  </si>
  <si>
    <t xml:space="preserve"> - Hjón án barna</t>
  </si>
  <si>
    <t xml:space="preserve"> - Hjón með börn</t>
  </si>
  <si>
    <t>Fjöldi starfsmanna</t>
  </si>
  <si>
    <t>Fjöldi flóttamanna</t>
  </si>
  <si>
    <t>Nöfn á reitum</t>
  </si>
  <si>
    <t>AL-Full</t>
  </si>
  <si>
    <t>FJ-Full</t>
  </si>
  <si>
    <t>KV-Full</t>
  </si>
  <si>
    <t>Ar1AL</t>
  </si>
  <si>
    <t>Ar1FJ</t>
  </si>
  <si>
    <t>Ar1Kv</t>
  </si>
  <si>
    <t>ATH með að breyta klst. í virkan vinnutíma, ekki 8 klst. vinnudag, ekki raunhæft</t>
  </si>
  <si>
    <r>
      <t xml:space="preserve">Fjöldi </t>
    </r>
    <r>
      <rPr>
        <b/>
        <u/>
        <sz val="10"/>
        <color theme="1"/>
        <rFont val="Calibri"/>
        <family val="2"/>
        <scheme val="minor"/>
      </rPr>
      <t>flóttamanna</t>
    </r>
    <r>
      <rPr>
        <b/>
        <sz val="10"/>
        <color theme="1"/>
        <rFont val="Calibri"/>
        <family val="2"/>
        <scheme val="minor"/>
      </rPr>
      <t xml:space="preserve"> sem nýtir sér aðstoðina </t>
    </r>
    <r>
      <rPr>
        <b/>
        <u/>
        <sz val="10"/>
        <color theme="1"/>
        <rFont val="Calibri"/>
        <family val="2"/>
        <scheme val="minor"/>
      </rPr>
      <t>(fullorðnir og börn</t>
    </r>
    <r>
      <rPr>
        <b/>
        <sz val="10"/>
        <color theme="1"/>
        <rFont val="Calibri"/>
        <family val="2"/>
        <scheme val="minor"/>
      </rPr>
      <t>)</t>
    </r>
  </si>
  <si>
    <t>Fj. mála pr. fjölskyldu Ár1</t>
  </si>
  <si>
    <t>Fj. mála pr. fjölskyldu Ár2</t>
  </si>
  <si>
    <t>Áætlun</t>
  </si>
  <si>
    <t>Húsnæði/ 
Húsbúnaður/ 
Standsetning</t>
  </si>
  <si>
    <t>Flokkun notuð við vinnslu gagna</t>
  </si>
  <si>
    <t>Laun félagsráðgjafa og fjöldi vinnustunda á viku og fjöldi virkra vinnustunda</t>
  </si>
  <si>
    <t>Tölur notaðar við útreikninga í Áætlun-Framtíð</t>
  </si>
  <si>
    <t>Alþj. vernd
án fjölsk.sam.</t>
  </si>
  <si>
    <t>Hlutfall flóttafólk sem nýtir úrræðið</t>
  </si>
  <si>
    <t>Reiknað út frá tölum um fjölskyldugerð í skjalinu "Töflur-Breytt ÁBE"</t>
  </si>
  <si>
    <t>Kemur frá starfsm. Félagsmálaráðuneytis</t>
  </si>
  <si>
    <t>Reiknað út frá tölum um ástæðu í skjalinu "Töflur-Breytt ÁBE"</t>
  </si>
  <si>
    <t>Hlutfall fjölskyldugerðar</t>
  </si>
  <si>
    <t>við hlutfall fjölskyldugerðar</t>
  </si>
  <si>
    <t>Hlutfall fullorðinna margfaldað</t>
  </si>
  <si>
    <t>Hvaðan koma þessar forsendur?</t>
  </si>
  <si>
    <t>Gert til að ná bara fjölda fullorðinna einstaklinga eftir fjölskyldugerð</t>
  </si>
  <si>
    <t>Fjöldi vinnustunda pr. fjölskyldu í klst. Ár1</t>
  </si>
  <si>
    <t>Fjöldi vinnustunda pr. fjölskyldu í klst. Ár2</t>
  </si>
  <si>
    <t>Ár1</t>
  </si>
  <si>
    <t>Ár2</t>
  </si>
  <si>
    <t>Greitt pr. fjölskyldu Ár1</t>
  </si>
  <si>
    <t>Greitt pr. fjölskyldu Ár2</t>
  </si>
  <si>
    <t>Hjón án barns - Kvótaflóttafólk</t>
  </si>
  <si>
    <t>Hjón án barns - Alþjóðleg vernd</t>
  </si>
  <si>
    <t>3)</t>
  </si>
  <si>
    <t xml:space="preserve">Þetta er þá ýmis annað eða báðir foreldrar komnir.  Svo kemur restin af fjölskyldunni eftir ca ár (börnin) og þá er haldið áfram að borga samkv. alþjóðlegri vernd fyrir foreldrana/foreldrið fyrir ár tvö, </t>
  </si>
  <si>
    <t>Ef t.d. fjölskyldan er komin, þ.e. fullorðnir og börn, og fjölskyldusameiningin snýst um að amma og afi komi til landsins.  Þá mun ekki vera borgað samkv. fjölskyldusameiningu heldur taxtanum</t>
  </si>
  <si>
    <t>Dæmi:</t>
  </si>
  <si>
    <t>Foreldri mætir til landsins á ári 1 og fær greitt samkv. alþjóðleg vernd einst.</t>
  </si>
  <si>
    <t>Ár3</t>
  </si>
  <si>
    <t>Hérna núllast ekki staðan fyrir foreldri heldur heldur áfram að fá borgað samkv. sínu ferli</t>
  </si>
  <si>
    <t>Fjölskyldusameiningar - DÆMI</t>
  </si>
  <si>
    <t>Starfshlutf_Ar1</t>
  </si>
  <si>
    <t>Starfshlutf_Ar2</t>
  </si>
  <si>
    <t>FjMala_Ar1</t>
  </si>
  <si>
    <t>FjMala_Ar2</t>
  </si>
  <si>
    <t>GrPrFjolsk_Ar1</t>
  </si>
  <si>
    <t>GrPrFjolsk_Ar2</t>
  </si>
  <si>
    <t>VinnustPrFjolsk_Ar1</t>
  </si>
  <si>
    <t>VinnustPrFjolsk_Ar2</t>
  </si>
  <si>
    <t xml:space="preserve"> B35:D38</t>
  </si>
  <si>
    <t xml:space="preserve"> B40:D43</t>
  </si>
  <si>
    <t xml:space="preserve"> B45:D48</t>
  </si>
  <si>
    <t xml:space="preserve"> B50:D53</t>
  </si>
  <si>
    <t>Hlutfall fyrir fjölskyldusameiningar áætlaðar eins og kvótaflóttafólk</t>
  </si>
  <si>
    <t xml:space="preserve">fara í viðeigandi ferli  m.v. fjölskyldugerð þeirra sem koma og </t>
  </si>
  <si>
    <t>er unnið m.v. tímafjölda fyrir alþj.vernd.</t>
  </si>
  <si>
    <t>Starfshlutf. pr. fjölskyldu - Starfshlutfall Ár1</t>
  </si>
  <si>
    <t>Starfshlutf. pr. fjölskyldu - Starfshlutfall Ár2</t>
  </si>
  <si>
    <t>VirkarVinnustPrMan</t>
  </si>
  <si>
    <t>Ár 3</t>
  </si>
  <si>
    <t>Samtals 3 ár</t>
  </si>
  <si>
    <t>Fj. mála pr. fjölskyldu Ár3</t>
  </si>
  <si>
    <t>Greitt pr. fjölskyldu Ár 3</t>
  </si>
  <si>
    <t>Fj. vinnustunda pr. fjölskyldu í klst. Ár3</t>
  </si>
  <si>
    <t>Starfshlutf. pr. fjölskyldu Ár3</t>
  </si>
  <si>
    <t>Tímaáætlun - Alþjóðleg vernd</t>
  </si>
  <si>
    <t>Tímaáætlun fyrir sérstaka umsýslu - Einst./Hjón án barna</t>
  </si>
  <si>
    <t>Tímaáætlun fyrir sérstaka umsýslu - Einst./Hjón með börn</t>
  </si>
  <si>
    <t>Tímaáætlun - Kvótaflóttafólk</t>
  </si>
  <si>
    <t>Fjölskyldusameining:  Nánari skýring</t>
  </si>
  <si>
    <t>Hérna er það hugsunin að fyrri aðili (fullorðinn) sé komin og byrjaður í ferlinu sem er þá í flokknum Alþjóðleg vernd hér fyrir ofan.</t>
  </si>
  <si>
    <t>Alþjoðleg vernd - hjón án barna.  Af því að þau hafa fjölskyldu til stuðnings þegar þau koma og fá hjálp þar</t>
  </si>
  <si>
    <t>Ár4</t>
  </si>
  <si>
    <t>Stuðningur</t>
  </si>
  <si>
    <t>Mán. 1</t>
  </si>
  <si>
    <t>Sérstök umsýsla:  Sundurliðun og tímaáætlun gerð árið 2020 með félagsráðgjöfum</t>
  </si>
  <si>
    <t>Mán.2-24</t>
  </si>
  <si>
    <t>Hvenær framkv.</t>
  </si>
  <si>
    <t>Sérstök umsýsla er til viðbótar við viðtöl hjá félagsráðgjafa</t>
  </si>
  <si>
    <t>Sundurliðun</t>
  </si>
  <si>
    <t>Sérstök umsýsla vegna barna umfram viðtöl</t>
  </si>
  <si>
    <t>Frá</t>
  </si>
  <si>
    <t>Til</t>
  </si>
  <si>
    <t>Tímalengd pr. viðtal með undirbún. og frág. (klst.)</t>
  </si>
  <si>
    <t>Sérstök umsýsla / Málastjóri-Stuðningur-Menningarmiðlari-Húsnæðisfulltrúi</t>
  </si>
  <si>
    <t>Húsnæði - Útvega og standsetja</t>
  </si>
  <si>
    <t>Sérstök umsýsla skv. lista</t>
  </si>
  <si>
    <t>Sérstök umsýsla vegna barna skv. lista</t>
  </si>
  <si>
    <t>Samtals sérstök umsýsla</t>
  </si>
  <si>
    <t>Félagsráðgjöf</t>
  </si>
  <si>
    <t>Sérstök umsýsla</t>
  </si>
  <si>
    <t>Málastjóri/Stuðningur</t>
  </si>
  <si>
    <t>Undirbúningur fyrir móttöku</t>
  </si>
  <si>
    <t>Útvega sálfræðiþjónustu</t>
  </si>
  <si>
    <t>Skrá á íslenskunámskeið/samfélagsfræðslu</t>
  </si>
  <si>
    <t>Skrá á heilsugæslu</t>
  </si>
  <si>
    <t>Sækja um húsnæðisbætur</t>
  </si>
  <si>
    <t>Sækja um sérstakan húsnæðisstuðing</t>
  </si>
  <si>
    <t>Tengja við vinnumálastofnun</t>
  </si>
  <si>
    <t>Útvega bankareikning</t>
  </si>
  <si>
    <t>Fara með til tannlæknis</t>
  </si>
  <si>
    <t>Fara með í sjónskoðun</t>
  </si>
  <si>
    <t>Tryggja að sé hiti/rafmagn og internet</t>
  </si>
  <si>
    <t>Útvega símakort</t>
  </si>
  <si>
    <t>Útvega strætókort</t>
  </si>
  <si>
    <t>Fylgja eftir í sértæka heilbrigðissþjónustu eftir þörfum</t>
  </si>
  <si>
    <t>Gera samning um sérkennslu/móðurmálskennslu</t>
  </si>
  <si>
    <t>Skrá í frístundir</t>
  </si>
  <si>
    <t>Útvega grunnpakka fyrir skólann, skólatöskur, pennaveski, íþróttaföt</t>
  </si>
  <si>
    <t>Gera húsaleigusamninga og afhenda lykla</t>
  </si>
  <si>
    <t>Kostnaðarlíkan - Niðurstaða</t>
  </si>
  <si>
    <t xml:space="preserve">Kostnaðarlíkan </t>
  </si>
  <si>
    <t>3 ár</t>
  </si>
  <si>
    <t>Samtals klst.</t>
  </si>
  <si>
    <t>Skrá börn í leikskóla/grunnskóla</t>
  </si>
  <si>
    <t>Tímaáætlun fyrir sérstaka umsýslu - Barn</t>
  </si>
  <si>
    <t>Einstaklingar</t>
  </si>
  <si>
    <t>Fjölskyldusameining</t>
  </si>
  <si>
    <t>Kostn. á klst.</t>
  </si>
  <si>
    <t>Þegar greitt</t>
  </si>
  <si>
    <t>Tímabil:</t>
  </si>
  <si>
    <t>2022 Q1</t>
  </si>
  <si>
    <t>Fullorðnir aðilar sem koma í fjölskyldusameiningu fara í viðeigandi hóp eftir því hvort einstaklingur eða hjón eru að koma, í hópnum alþjóðleg vernd</t>
  </si>
  <si>
    <t>Sá aðili sem kom fyrstur til landsins heldur áfram í sínum hóp óháð þeim aðila sem koma eftir á</t>
  </si>
  <si>
    <t>Breyting apríl 2022</t>
  </si>
  <si>
    <t>Vegna barna sem koma eftir á í fjölskyldusameiningu</t>
  </si>
  <si>
    <t>Pr. barn sem kemur eftir á</t>
  </si>
  <si>
    <t>Fjölskyldusameining - Ef börn</t>
  </si>
  <si>
    <t>Pr. fullorðin aðila sem kemur eftirá, greitt skv. alþj.vernd hér fyrir ofan, annaðhvort einst. eða hjón</t>
  </si>
  <si>
    <t xml:space="preserve"> Síðan kemur barn á ári 2 og þá bætist við greiðsla á ári 2.  </t>
  </si>
  <si>
    <t xml:space="preserve"> - Pr. barn</t>
  </si>
  <si>
    <t>4-10 klst.</t>
  </si>
  <si>
    <t>Tímakaup í dagvinnu</t>
  </si>
  <si>
    <t>Fjöldi vinnudaga í mánuði</t>
  </si>
  <si>
    <t>Eining</t>
  </si>
  <si>
    <t>Lýsing</t>
  </si>
  <si>
    <t>% af mán.launum</t>
  </si>
  <si>
    <t>Stytting vinnuvikunnar í samn. 2020</t>
  </si>
  <si>
    <t>Alls vinnustundir á dag</t>
  </si>
  <si>
    <t>klst./vika</t>
  </si>
  <si>
    <t>klst./mán.</t>
  </si>
  <si>
    <t>klst./dag</t>
  </si>
  <si>
    <t>mín./dag</t>
  </si>
  <si>
    <t>Kjarasamn. frá 2020</t>
  </si>
  <si>
    <t>Orlof 30 dagar á ári</t>
  </si>
  <si>
    <t>Launatengd gjöld</t>
  </si>
  <si>
    <t>Upplýsingar úr kjarasamningi</t>
  </si>
  <si>
    <t>Fj. vinnustunda á dag</t>
  </si>
  <si>
    <t>Stjórnendakostnaður</t>
  </si>
  <si>
    <t>Kjarasamn. FÍ við ríkið: 14. launafl./4. þrep.</t>
  </si>
  <si>
    <t>Samtals gjöld á laun</t>
  </si>
  <si>
    <t>kr./mán.</t>
  </si>
  <si>
    <t>Laun og önnur gjöld (Launatengd gjöld, orlof, fræðsla, stjórn.kostn.)</t>
  </si>
  <si>
    <t xml:space="preserve">https://felagsradgjof.is/wp-content/uploads/2021/05/Kjarasamningur-FI-riki-april-2020.pdf </t>
  </si>
  <si>
    <t>Fræðsludagar 2 á ári</t>
  </si>
  <si>
    <t>Fullorðnir</t>
  </si>
  <si>
    <t>Börn</t>
  </si>
  <si>
    <t xml:space="preserve"> - Einst. með/án barna</t>
  </si>
  <si>
    <t xml:space="preserve"> - Hjón með/án barna</t>
  </si>
  <si>
    <t>ALHjon</t>
  </si>
  <si>
    <t>ALEinst</t>
  </si>
  <si>
    <t>FJHjon</t>
  </si>
  <si>
    <t>FJEinst</t>
  </si>
  <si>
    <t>KVEinst</t>
  </si>
  <si>
    <t>KVHjon</t>
  </si>
  <si>
    <t>Hlutfall fullorðnir einst. vs. hjón</t>
  </si>
  <si>
    <t>Fjöldi - Alþjóðleg vernd Ár1</t>
  </si>
  <si>
    <t>Fjöldi - Kvótaflóttafólk Ár1</t>
  </si>
  <si>
    <t>Fjöldi - Fjölskyldusameiningar Ár1</t>
  </si>
  <si>
    <t>Einst. með/án barna</t>
  </si>
  <si>
    <t>Hjón með/án barna</t>
  </si>
  <si>
    <t>Fjölsk. sameiningar</t>
  </si>
  <si>
    <t>Upplýsingar sóttar í sheet "Kostn.líkan - Alls"</t>
  </si>
  <si>
    <t>Þetta eru útreiknaðar vinnustundir pr. fjölskyldugerð</t>
  </si>
  <si>
    <t>Ástæðan er að þeir sem koma eftirá til landsins</t>
  </si>
  <si>
    <t>Þetta eru útreiknaðir starfshlutfall pr. fjölskyldugerð</t>
  </si>
  <si>
    <t>Fjölskyldusamning er eins og alþjóðleg vernd ef fullorðnir</t>
  </si>
  <si>
    <t>Fjöldi flóttamanna pr. hóp á ári 1</t>
  </si>
  <si>
    <t>Fjöldi flóttamanna pr. hóp á ári 2</t>
  </si>
  <si>
    <t>Fjöldi - Alþjóðleg vernd Ár2</t>
  </si>
  <si>
    <t>Fjöldi - Kvótaflóttafólk Ár2</t>
  </si>
  <si>
    <t>Fjöldi - Fjölskyldusameiningar Ár2</t>
  </si>
  <si>
    <t>Fjöldi flóttamanna pr. hóp á ári 3</t>
  </si>
  <si>
    <t>Fjöldi - Alþjóðleg vernd Ár3</t>
  </si>
  <si>
    <t>Fjöldi - Kvótaflóttafólk Ár3</t>
  </si>
  <si>
    <t>Fjöldi - Fjölskyldusameiningar Ár3</t>
  </si>
  <si>
    <t>GrPrFjolsk_Ar3</t>
  </si>
  <si>
    <t xml:space="preserve"> B71:D73</t>
  </si>
  <si>
    <t xml:space="preserve"> B67:D69</t>
  </si>
  <si>
    <t>FjMala_Ar3</t>
  </si>
  <si>
    <t>B63:D65</t>
  </si>
  <si>
    <t xml:space="preserve"> B59:D61</t>
  </si>
  <si>
    <t xml:space="preserve"> B55:D57</t>
  </si>
  <si>
    <t>B75:D77</t>
  </si>
  <si>
    <t>Fjöldi vinnustunda pr. hóp á ári 1</t>
  </si>
  <si>
    <t>VinnustPrFjolsk_Ar3</t>
  </si>
  <si>
    <t>Fj. vinnustunda (klst.)</t>
  </si>
  <si>
    <t>Alls greitt pr. ár (millj.kr.)</t>
  </si>
  <si>
    <t>Tölur frá</t>
  </si>
  <si>
    <t>Akureyri</t>
  </si>
  <si>
    <t>Reykjanesbæ</t>
  </si>
  <si>
    <t>Hafnarfirði</t>
  </si>
  <si>
    <t>Laun pr. klst.</t>
  </si>
  <si>
    <t>LaunKlst</t>
  </si>
  <si>
    <t>Skrá hjá útlendingastofnun og sækja dvaraleyfisskírteini</t>
  </si>
  <si>
    <t>Útvega rafræn skilríki/Íslykil og þjónusta</t>
  </si>
  <si>
    <t>Útvega húsnæði áður en þau koma og húsbúnað</t>
  </si>
  <si>
    <t>Samráðsfundir með leikskóla, grunnskóla, framhaldsskóla</t>
  </si>
  <si>
    <t>Viðbætur</t>
  </si>
  <si>
    <t>2 klst.</t>
  </si>
  <si>
    <t>Útvega húsbúnað og finna húsnæði</t>
  </si>
  <si>
    <t>1 klst.</t>
  </si>
  <si>
    <t>Viðbætur apríl 2022</t>
  </si>
  <si>
    <t>Fjöldi vinnustunda pr. hóp á ári 2</t>
  </si>
  <si>
    <t>Fjöldi vinnustunda pr. hóp á ári 3</t>
  </si>
  <si>
    <t>2 viðtöl = 3 klst</t>
  </si>
  <si>
    <t>Fjöldi barna sem kemur eftirá**</t>
  </si>
  <si>
    <t>Hjón*</t>
  </si>
  <si>
    <t>** Á aðeins við um börn sem koma ein eftir á í fjölskyldusameiningu</t>
  </si>
  <si>
    <t>*  Hjón:  Tveir einstaklingar í hjónabandi er talinn sem 1 hjón</t>
  </si>
  <si>
    <t>Dæmi: 4 hjón sem eru 8 einstaklingar.  Talan 4 er skráð í töfluna</t>
  </si>
  <si>
    <t>Fjöldi stöðugilda</t>
  </si>
  <si>
    <t>Virkar vinnustundir pr. ár</t>
  </si>
  <si>
    <t>Fjöldi aðila pr. hóp</t>
  </si>
  <si>
    <t>Fjöldi vinnustunda pr. hóp (klst.)</t>
  </si>
  <si>
    <t>Fjöldi stöðugilda pr. ár</t>
  </si>
  <si>
    <t>Útreikningur skv. fjölda</t>
  </si>
  <si>
    <t>Uppgjör og yfirlitsblað</t>
  </si>
  <si>
    <t>Samtals vinnustundir pr. ár (klst.)</t>
  </si>
  <si>
    <t xml:space="preserve"> + Til greiðslu / - Umframgreitt</t>
  </si>
  <si>
    <t>Bls. 11</t>
  </si>
  <si>
    <t>Bls. 19</t>
  </si>
  <si>
    <t>Bls. 25</t>
  </si>
  <si>
    <t>kr./klst.</t>
  </si>
  <si>
    <t>Greitt pr. klukkustund / Tímakaup í dagvinnu</t>
  </si>
  <si>
    <t>Matartími pr. dag / ekki greiddur</t>
  </si>
  <si>
    <t>Virkar vinnustundir á viku</t>
  </si>
  <si>
    <t>Launatengd gjöld 45,8%</t>
  </si>
  <si>
    <t>Virkar vinnustundir á mánuði</t>
  </si>
  <si>
    <t>Virkur vinnutími</t>
  </si>
  <si>
    <t>dagar/mán.</t>
  </si>
  <si>
    <t>Apríl 2022</t>
  </si>
  <si>
    <t>Hópur</t>
  </si>
  <si>
    <t>Pr. barn - Alþjóðleg vernd</t>
  </si>
  <si>
    <t>Pr. barn - Kvótaflóttafólk</t>
  </si>
  <si>
    <t>3 klst.</t>
  </si>
  <si>
    <t>Viðtöl, ráðgjöf, virkni / Málastjóri</t>
  </si>
  <si>
    <t>Samtals klst. í viðtöl</t>
  </si>
  <si>
    <t>en byrjað að borga aukalega 0,19 pr. barn sem kemur eftir á</t>
  </si>
  <si>
    <t xml:space="preserve">Ef annað foreldri er komið og svo kemur hitt foreldrið með börnin, þá falla þau í hópinn alþjóðleg vernd þá sem einst. og svo börnin sér. </t>
  </si>
  <si>
    <t>Einst. án barns - Alþjóðleg vernd</t>
  </si>
  <si>
    <t>Einst. án barns - Kvótaflóttafólk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</si>
</sst>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\ _k_r_._-;\-* #,##0\ _k_r_._-;_-* &quot;-&quot;\ _k_r_._-;_-@_-"/>
    <numFmt numFmtId="165" formatCode="0.0%"/>
    <numFmt numFmtId="166" formatCode="0.0000"/>
    <numFmt numFmtId="167" formatCode="0.000%"/>
    <numFmt numFmtId="168" formatCode="0.0"/>
    <numFmt numFmtId="169" formatCode="_-* #,##0_-;\-* #,##0_-;_-* &quot;-&quot;??_-;_-@_-"/>
    <numFmt numFmtId="170" formatCode="_-* #,##0.0_-;\-* #,##0.0_-;_-* &quot;-&quot;??_-;_-@_-"/>
    <numFmt numFmtId="171" formatCode="_-* #,##0.0000_-;\-* #,##0.00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10" fontId="0" fillId="0" borderId="0" xfId="0" applyNumberFormat="1"/>
    <xf numFmtId="0" fontId="1" fillId="0" borderId="0" xfId="0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9" fontId="0" fillId="0" borderId="0" xfId="1" applyFont="1"/>
    <xf numFmtId="0" fontId="0" fillId="0" borderId="0" xfId="0" applyFill="1"/>
    <xf numFmtId="3" fontId="1" fillId="0" borderId="1" xfId="0" applyNumberFormat="1" applyFont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1" fillId="5" borderId="5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0" fontId="1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0" xfId="0" applyFont="1" applyFill="1" applyBorder="1" applyAlignment="1"/>
    <xf numFmtId="10" fontId="1" fillId="0" borderId="5" xfId="1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0" fontId="1" fillId="6" borderId="5" xfId="0" applyFont="1" applyFill="1" applyBorder="1"/>
    <xf numFmtId="0" fontId="1" fillId="2" borderId="5" xfId="0" applyFont="1" applyFill="1" applyBorder="1"/>
    <xf numFmtId="0" fontId="1" fillId="7" borderId="5" xfId="0" applyFont="1" applyFill="1" applyBorder="1"/>
    <xf numFmtId="0" fontId="1" fillId="3" borderId="5" xfId="0" applyFont="1" applyFill="1" applyBorder="1"/>
    <xf numFmtId="2" fontId="0" fillId="0" borderId="0" xfId="0" applyNumberFormat="1"/>
    <xf numFmtId="0" fontId="5" fillId="0" borderId="0" xfId="0" applyFont="1" applyFill="1" applyBorder="1"/>
    <xf numFmtId="0" fontId="5" fillId="0" borderId="1" xfId="0" applyFont="1" applyFill="1" applyBorder="1"/>
    <xf numFmtId="0" fontId="0" fillId="0" borderId="11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 applyBorder="1"/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164" fontId="0" fillId="0" borderId="0" xfId="2" applyFont="1"/>
    <xf numFmtId="0" fontId="8" fillId="0" borderId="0" xfId="0" applyFont="1" applyFill="1" applyAlignment="1">
      <alignment horizontal="left" indent="2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8" fillId="0" borderId="0" xfId="0" applyFont="1" applyFill="1"/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indent="2"/>
    </xf>
    <xf numFmtId="0" fontId="0" fillId="0" borderId="0" xfId="0" applyAlignment="1">
      <alignment horizontal="left"/>
    </xf>
    <xf numFmtId="0" fontId="1" fillId="0" borderId="0" xfId="0" applyFont="1" applyBorder="1" applyAlignment="1"/>
    <xf numFmtId="0" fontId="11" fillId="0" borderId="0" xfId="0" applyFont="1" applyBorder="1" applyAlignment="1"/>
    <xf numFmtId="10" fontId="0" fillId="0" borderId="0" xfId="2" applyNumberFormat="1" applyFont="1"/>
    <xf numFmtId="3" fontId="9" fillId="0" borderId="1" xfId="0" applyNumberFormat="1" applyFont="1" applyFill="1" applyBorder="1" applyAlignment="1">
      <alignment horizontal="center"/>
    </xf>
    <xf numFmtId="0" fontId="11" fillId="0" borderId="0" xfId="0" applyFont="1"/>
    <xf numFmtId="0" fontId="1" fillId="0" borderId="7" xfId="0" applyFont="1" applyBorder="1" applyAlignment="1">
      <alignment horizontal="center"/>
    </xf>
    <xf numFmtId="0" fontId="1" fillId="0" borderId="17" xfId="0" applyFont="1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0" fontId="0" fillId="0" borderId="11" xfId="0" applyBorder="1" applyAlignment="1">
      <alignment horizontal="left" indent="2"/>
    </xf>
    <xf numFmtId="0" fontId="1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5" xfId="0" applyFont="1" applyBorder="1"/>
    <xf numFmtId="9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left"/>
    </xf>
    <xf numFmtId="0" fontId="0" fillId="0" borderId="5" xfId="0" applyFill="1" applyBorder="1"/>
    <xf numFmtId="164" fontId="0" fillId="0" borderId="1" xfId="2" applyFont="1" applyBorder="1"/>
    <xf numFmtId="2" fontId="0" fillId="0" borderId="1" xfId="0" applyNumberFormat="1" applyBorder="1"/>
    <xf numFmtId="0" fontId="0" fillId="6" borderId="0" xfId="0" applyFill="1"/>
    <xf numFmtId="0" fontId="2" fillId="0" borderId="0" xfId="0" applyFont="1" applyFill="1" applyBorder="1" applyAlignment="1">
      <alignment horizontal="left"/>
    </xf>
    <xf numFmtId="0" fontId="1" fillId="0" borderId="0" xfId="0" applyFont="1" applyFill="1"/>
    <xf numFmtId="3" fontId="0" fillId="0" borderId="0" xfId="0" applyNumberFormat="1" applyFill="1"/>
    <xf numFmtId="0" fontId="0" fillId="0" borderId="1" xfId="0" applyFill="1" applyBorder="1"/>
    <xf numFmtId="3" fontId="0" fillId="0" borderId="1" xfId="0" applyNumberFormat="1" applyFill="1" applyBorder="1"/>
    <xf numFmtId="164" fontId="0" fillId="0" borderId="0" xfId="2" applyFont="1" applyBorder="1"/>
    <xf numFmtId="3" fontId="0" fillId="0" borderId="0" xfId="0" applyNumberForma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8" borderId="5" xfId="0" applyFont="1" applyFill="1" applyBorder="1"/>
    <xf numFmtId="0" fontId="1" fillId="9" borderId="5" xfId="0" applyFont="1" applyFill="1" applyBorder="1"/>
    <xf numFmtId="2" fontId="0" fillId="0" borderId="0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3" fontId="0" fillId="0" borderId="0" xfId="0" applyNumberFormat="1" applyBorder="1"/>
    <xf numFmtId="2" fontId="0" fillId="0" borderId="1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10" fontId="0" fillId="0" borderId="0" xfId="2" applyNumberFormat="1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 indent="2"/>
    </xf>
    <xf numFmtId="10" fontId="0" fillId="0" borderId="1" xfId="1" applyNumberFormat="1" applyFont="1" applyBorder="1"/>
    <xf numFmtId="0" fontId="1" fillId="0" borderId="7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4" fillId="0" borderId="0" xfId="0" applyFont="1"/>
    <xf numFmtId="10" fontId="1" fillId="0" borderId="15" xfId="1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right"/>
    </xf>
    <xf numFmtId="10" fontId="1" fillId="0" borderId="7" xfId="1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10" fontId="1" fillId="0" borderId="0" xfId="1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4" fillId="5" borderId="13" xfId="0" applyFont="1" applyFill="1" applyBorder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5" borderId="2" xfId="0" applyFont="1" applyFill="1" applyBorder="1"/>
    <xf numFmtId="0" fontId="1" fillId="5" borderId="1" xfId="0" applyFont="1" applyFill="1" applyBorder="1" applyAlignment="1">
      <alignment horizontal="center"/>
    </xf>
    <xf numFmtId="0" fontId="15" fillId="0" borderId="0" xfId="0" applyFont="1"/>
    <xf numFmtId="0" fontId="0" fillId="0" borderId="15" xfId="0" applyBorder="1"/>
    <xf numFmtId="3" fontId="0" fillId="0" borderId="0" xfId="0" applyNumberFormat="1"/>
    <xf numFmtId="0" fontId="1" fillId="0" borderId="15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9" borderId="5" xfId="0" applyFont="1" applyFill="1" applyBorder="1" applyAlignment="1">
      <alignment vertical="center"/>
    </xf>
    <xf numFmtId="0" fontId="0" fillId="0" borderId="0" xfId="0" applyFont="1"/>
    <xf numFmtId="0" fontId="0" fillId="0" borderId="15" xfId="0" applyFont="1" applyBorder="1" applyAlignment="1">
      <alignment horizontal="center"/>
    </xf>
    <xf numFmtId="0" fontId="0" fillId="0" borderId="0" xfId="0" applyNumberFormat="1" applyBorder="1"/>
    <xf numFmtId="0" fontId="0" fillId="0" borderId="0" xfId="0" applyFont="1" applyBorder="1" applyAlignment="1">
      <alignment horizontal="center"/>
    </xf>
    <xf numFmtId="0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10" borderId="5" xfId="0" applyFont="1" applyFill="1" applyBorder="1"/>
    <xf numFmtId="0" fontId="1" fillId="11" borderId="5" xfId="0" applyFont="1" applyFill="1" applyBorder="1"/>
    <xf numFmtId="0" fontId="1" fillId="0" borderId="0" xfId="0" applyNumberFormat="1" applyFont="1" applyBorder="1"/>
    <xf numFmtId="0" fontId="1" fillId="0" borderId="15" xfId="0" applyNumberFormat="1" applyFont="1" applyBorder="1"/>
    <xf numFmtId="0" fontId="1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70" fontId="0" fillId="0" borderId="0" xfId="3" applyNumberFormat="1" applyFont="1"/>
    <xf numFmtId="170" fontId="0" fillId="0" borderId="1" xfId="3" applyNumberFormat="1" applyFont="1" applyBorder="1"/>
    <xf numFmtId="0" fontId="0" fillId="0" borderId="15" xfId="0" applyFont="1" applyBorder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Fill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8" fillId="0" borderId="0" xfId="0" applyFont="1" applyAlignment="1">
      <alignment horizontal="center"/>
    </xf>
    <xf numFmtId="2" fontId="0" fillId="0" borderId="12" xfId="0" applyNumberForma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3" fontId="0" fillId="0" borderId="12" xfId="0" applyNumberFormat="1" applyBorder="1" applyAlignment="1">
      <alignment horizontal="right"/>
    </xf>
    <xf numFmtId="0" fontId="8" fillId="0" borderId="0" xfId="0" applyFont="1" applyBorder="1" applyAlignment="1">
      <alignment horizontal="center"/>
    </xf>
    <xf numFmtId="10" fontId="8" fillId="0" borderId="0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16" fillId="5" borderId="14" xfId="0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7" fillId="5" borderId="10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168" fontId="1" fillId="8" borderId="8" xfId="3" applyNumberFormat="1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168" fontId="1" fillId="8" borderId="6" xfId="3" applyNumberFormat="1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168" fontId="1" fillId="8" borderId="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0" fillId="0" borderId="14" xfId="0" applyBorder="1"/>
    <xf numFmtId="0" fontId="0" fillId="0" borderId="8" xfId="0" applyBorder="1"/>
    <xf numFmtId="0" fontId="1" fillId="8" borderId="2" xfId="0" applyFont="1" applyFill="1" applyBorder="1"/>
    <xf numFmtId="3" fontId="0" fillId="0" borderId="12" xfId="0" applyNumberForma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8" fillId="0" borderId="9" xfId="0" applyFont="1" applyBorder="1"/>
    <xf numFmtId="0" fontId="0" fillId="0" borderId="9" xfId="0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8" borderId="10" xfId="0" applyFont="1" applyFill="1" applyBorder="1" applyAlignment="1">
      <alignment horizontal="center" textRotation="90"/>
    </xf>
    <xf numFmtId="0" fontId="1" fillId="8" borderId="1" xfId="0" applyFont="1" applyFill="1" applyBorder="1" applyAlignment="1">
      <alignment horizontal="center" textRotation="90"/>
    </xf>
    <xf numFmtId="0" fontId="1" fillId="8" borderId="6" xfId="0" applyFont="1" applyFill="1" applyBorder="1" applyAlignment="1">
      <alignment horizontal="center" textRotation="90"/>
    </xf>
    <xf numFmtId="0" fontId="14" fillId="5" borderId="18" xfId="0" applyFont="1" applyFill="1" applyBorder="1"/>
    <xf numFmtId="0" fontId="2" fillId="0" borderId="13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8" fillId="0" borderId="10" xfId="0" applyFont="1" applyBorder="1"/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8" fillId="0" borderId="0" xfId="0" applyNumberFormat="1" applyFont="1"/>
    <xf numFmtId="0" fontId="1" fillId="6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68" fontId="0" fillId="0" borderId="0" xfId="0" applyNumberFormat="1" applyFont="1" applyBorder="1" applyAlignment="1">
      <alignment horizontal="right"/>
    </xf>
    <xf numFmtId="1" fontId="0" fillId="0" borderId="1" xfId="0" applyNumberFormat="1" applyBorder="1"/>
    <xf numFmtId="1" fontId="0" fillId="0" borderId="6" xfId="0" applyNumberFormat="1" applyBorder="1"/>
    <xf numFmtId="0" fontId="8" fillId="0" borderId="6" xfId="0" applyFont="1" applyBorder="1"/>
    <xf numFmtId="169" fontId="1" fillId="0" borderId="0" xfId="3" applyNumberFormat="1" applyFont="1"/>
    <xf numFmtId="0" fontId="1" fillId="0" borderId="16" xfId="0" applyFont="1" applyBorder="1" applyAlignment="1">
      <alignment horizontal="right"/>
    </xf>
    <xf numFmtId="0" fontId="1" fillId="12" borderId="0" xfId="0" applyFont="1" applyFill="1" applyAlignment="1">
      <alignment horizontal="right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1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textRotation="90"/>
    </xf>
    <xf numFmtId="0" fontId="0" fillId="5" borderId="1" xfId="0" applyFill="1" applyBorder="1" applyAlignment="1">
      <alignment horizontal="center" textRotation="90" wrapText="1"/>
    </xf>
    <xf numFmtId="0" fontId="0" fillId="5" borderId="1" xfId="0" applyFill="1" applyBorder="1" applyAlignment="1">
      <alignment textRotation="90" wrapText="1"/>
    </xf>
    <xf numFmtId="3" fontId="8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16" fontId="0" fillId="0" borderId="0" xfId="0" applyNumberFormat="1" applyBorder="1"/>
    <xf numFmtId="166" fontId="0" fillId="0" borderId="0" xfId="0" applyNumberFormat="1"/>
    <xf numFmtId="165" fontId="0" fillId="0" borderId="0" xfId="1" applyNumberFormat="1" applyFont="1"/>
    <xf numFmtId="0" fontId="1" fillId="0" borderId="16" xfId="0" applyFont="1" applyBorder="1" applyAlignment="1">
      <alignment horizontal="left"/>
    </xf>
    <xf numFmtId="10" fontId="0" fillId="0" borderId="0" xfId="0" applyNumberFormat="1" applyAlignment="1">
      <alignment horizontal="left"/>
    </xf>
    <xf numFmtId="10" fontId="0" fillId="0" borderId="0" xfId="1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/>
    </xf>
    <xf numFmtId="166" fontId="1" fillId="0" borderId="0" xfId="0" applyNumberFormat="1" applyFont="1"/>
    <xf numFmtId="166" fontId="1" fillId="0" borderId="1" xfId="0" applyNumberFormat="1" applyFont="1" applyBorder="1"/>
    <xf numFmtId="165" fontId="0" fillId="0" borderId="0" xfId="0" applyNumberFormat="1"/>
    <xf numFmtId="10" fontId="1" fillId="0" borderId="0" xfId="1" applyNumberFormat="1" applyFont="1" applyAlignment="1">
      <alignment horizontal="left"/>
    </xf>
    <xf numFmtId="169" fontId="1" fillId="0" borderId="0" xfId="3" applyNumberFormat="1" applyFont="1" applyAlignment="1">
      <alignment horizontal="right"/>
    </xf>
    <xf numFmtId="10" fontId="1" fillId="0" borderId="1" xfId="1" applyNumberFormat="1" applyFont="1" applyBorder="1" applyAlignment="1">
      <alignment horizontal="left"/>
    </xf>
    <xf numFmtId="165" fontId="1" fillId="0" borderId="1" xfId="1" applyNumberFormat="1" applyFont="1" applyBorder="1" applyAlignment="1">
      <alignment horizontal="right"/>
    </xf>
    <xf numFmtId="0" fontId="18" fillId="0" borderId="0" xfId="4"/>
    <xf numFmtId="0" fontId="8" fillId="0" borderId="0" xfId="0" applyFont="1" applyFill="1" applyAlignment="1">
      <alignment horizontal="left" indent="4"/>
    </xf>
    <xf numFmtId="0" fontId="8" fillId="0" borderId="1" xfId="0" applyFont="1" applyFill="1" applyBorder="1" applyAlignment="1">
      <alignment horizontal="left" indent="4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4" borderId="0" xfId="0" applyFill="1"/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9" fontId="8" fillId="0" borderId="0" xfId="1" applyNumberFormat="1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0" fontId="0" fillId="0" borderId="0" xfId="1" applyNumberFormat="1" applyFont="1" applyBorder="1"/>
    <xf numFmtId="9" fontId="8" fillId="0" borderId="1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>
      <alignment horizontal="center"/>
    </xf>
    <xf numFmtId="169" fontId="9" fillId="0" borderId="0" xfId="3" applyNumberFormat="1" applyFont="1" applyFill="1" applyBorder="1" applyAlignment="1"/>
    <xf numFmtId="0" fontId="10" fillId="0" borderId="1" xfId="0" applyFont="1" applyFill="1" applyBorder="1"/>
    <xf numFmtId="2" fontId="9" fillId="0" borderId="1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69" fontId="1" fillId="0" borderId="1" xfId="3" applyNumberFormat="1" applyFont="1" applyBorder="1" applyAlignment="1">
      <alignment horizontal="right"/>
    </xf>
    <xf numFmtId="0" fontId="1" fillId="13" borderId="0" xfId="0" applyFont="1" applyFill="1" applyBorder="1"/>
    <xf numFmtId="0" fontId="0" fillId="13" borderId="0" xfId="0" applyFill="1"/>
    <xf numFmtId="0" fontId="0" fillId="0" borderId="0" xfId="0" applyFill="1" applyBorder="1" applyAlignment="1">
      <alignment horizontal="right"/>
    </xf>
    <xf numFmtId="169" fontId="1" fillId="0" borderId="0" xfId="3" applyNumberFormat="1" applyFont="1" applyFill="1"/>
    <xf numFmtId="0" fontId="0" fillId="0" borderId="0" xfId="0" applyFont="1" applyFill="1" applyAlignment="1">
      <alignment horizontal="left" indent="2"/>
    </xf>
    <xf numFmtId="0" fontId="0" fillId="0" borderId="1" xfId="0" applyFont="1" applyFill="1" applyBorder="1" applyAlignment="1">
      <alignment horizontal="left" indent="2"/>
    </xf>
    <xf numFmtId="0" fontId="0" fillId="0" borderId="0" xfId="0" applyFont="1" applyFill="1" applyBorder="1" applyAlignment="1">
      <alignment horizontal="left" indent="2"/>
    </xf>
    <xf numFmtId="0" fontId="1" fillId="0" borderId="0" xfId="0" applyFont="1" applyFill="1" applyAlignment="1">
      <alignment horizontal="left" indent="1"/>
    </xf>
    <xf numFmtId="169" fontId="0" fillId="0" borderId="0" xfId="3" applyNumberFormat="1" applyFont="1" applyFill="1" applyBorder="1" applyAlignment="1">
      <alignment horizontal="right"/>
    </xf>
    <xf numFmtId="169" fontId="0" fillId="0" borderId="1" xfId="3" applyNumberFormat="1" applyFont="1" applyFill="1" applyBorder="1" applyAlignment="1">
      <alignment horizontal="right"/>
    </xf>
    <xf numFmtId="169" fontId="1" fillId="0" borderId="0" xfId="3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indent="1"/>
    </xf>
    <xf numFmtId="43" fontId="1" fillId="0" borderId="1" xfId="3" applyFont="1" applyFill="1" applyBorder="1" applyAlignment="1">
      <alignment horizontal="right"/>
    </xf>
    <xf numFmtId="169" fontId="1" fillId="0" borderId="20" xfId="3" applyNumberFormat="1" applyFont="1" applyBorder="1"/>
    <xf numFmtId="0" fontId="16" fillId="0" borderId="0" xfId="0" applyFont="1"/>
    <xf numFmtId="171" fontId="0" fillId="0" borderId="0" xfId="3" applyNumberFormat="1" applyFont="1" applyBorder="1"/>
    <xf numFmtId="0" fontId="1" fillId="8" borderId="0" xfId="0" applyFont="1" applyFill="1" applyBorder="1"/>
    <xf numFmtId="0" fontId="1" fillId="8" borderId="0" xfId="0" applyFont="1" applyFill="1" applyBorder="1" applyAlignment="1">
      <alignment horizontal="right"/>
    </xf>
    <xf numFmtId="0" fontId="0" fillId="8" borderId="0" xfId="0" applyFill="1"/>
    <xf numFmtId="0" fontId="0" fillId="8" borderId="1" xfId="0" applyFill="1" applyBorder="1"/>
    <xf numFmtId="169" fontId="0" fillId="8" borderId="0" xfId="0" applyNumberFormat="1" applyFill="1"/>
    <xf numFmtId="169" fontId="0" fillId="8" borderId="1" xfId="0" applyNumberFormat="1" applyFill="1" applyBorder="1"/>
    <xf numFmtId="169" fontId="1" fillId="8" borderId="0" xfId="0" applyNumberFormat="1" applyFont="1" applyFill="1"/>
    <xf numFmtId="43" fontId="1" fillId="8" borderId="1" xfId="3" applyFont="1" applyFill="1" applyBorder="1" applyAlignment="1">
      <alignment horizontal="right"/>
    </xf>
    <xf numFmtId="0" fontId="1" fillId="8" borderId="0" xfId="0" applyFont="1" applyFill="1" applyBorder="1" applyAlignment="1">
      <alignment horizontal="left"/>
    </xf>
    <xf numFmtId="169" fontId="0" fillId="8" borderId="0" xfId="3" applyNumberFormat="1" applyFont="1" applyFill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2" fontId="14" fillId="0" borderId="0" xfId="0" applyNumberFormat="1" applyFont="1" applyFill="1"/>
    <xf numFmtId="3" fontId="1" fillId="0" borderId="0" xfId="0" applyNumberFormat="1" applyFont="1" applyFill="1"/>
    <xf numFmtId="2" fontId="0" fillId="0" borderId="15" xfId="0" applyNumberFormat="1" applyBorder="1" applyAlignment="1">
      <alignment horizontal="center"/>
    </xf>
    <xf numFmtId="170" fontId="5" fillId="0" borderId="0" xfId="3" applyNumberFormat="1" applyFont="1" applyFill="1"/>
    <xf numFmtId="170" fontId="0" fillId="0" borderId="0" xfId="3" applyNumberFormat="1" applyFont="1" applyFill="1"/>
    <xf numFmtId="0" fontId="0" fillId="0" borderId="0" xfId="0" applyFont="1" applyFill="1" applyAlignment="1">
      <alignment horizontal="left"/>
    </xf>
    <xf numFmtId="0" fontId="1" fillId="5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Comma" xfId="3" builtinId="3"/>
    <cellStyle name="Comma [0]" xfId="2" builtinId="6"/>
    <cellStyle name="Hyperlink" xfId="4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457200</xdr:colOff>
      <xdr:row>1</xdr:row>
      <xdr:rowOff>152400</xdr:rowOff>
    </xdr:from>
    <xdr:to>
      <xdr:col>26</xdr:col>
      <xdr:colOff>441058</xdr:colOff>
      <xdr:row>36</xdr:row>
      <xdr:rowOff>60178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5E1138-F601-F748-5040-3EB46A988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333375"/>
          <a:ext cx="7219048" cy="625714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38</xdr:row>
      <xdr:rowOff>0</xdr:rowOff>
    </xdr:from>
    <xdr:to>
      <xdr:col>26</xdr:col>
      <xdr:colOff>402971</xdr:colOff>
      <xdr:row>56</xdr:row>
      <xdr:rowOff>22449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717537-8EF4-34B5-4821-1695CA095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67975" y="6896100"/>
          <a:ext cx="7114286" cy="3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601345</xdr:colOff>
      <xdr:row>2</xdr:row>
      <xdr:rowOff>4868</xdr:rowOff>
    </xdr:from>
    <xdr:to>
      <xdr:col>7</xdr:col>
      <xdr:colOff>232198</xdr:colOff>
      <xdr:row>6</xdr:row>
      <xdr:rowOff>134978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5AB10-729E-486E-A0ED-73BAD1E6D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5262" y="618701"/>
          <a:ext cx="4255770" cy="83453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620607</xdr:colOff>
      <xdr:row>7</xdr:row>
      <xdr:rowOff>40428</xdr:rowOff>
    </xdr:from>
    <xdr:to>
      <xdr:col>7</xdr:col>
      <xdr:colOff>739140</xdr:colOff>
      <xdr:row>11</xdr:row>
      <xdr:rowOff>59165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9D3F50-F783-4826-869A-AF35CC78A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4524" y="1564428"/>
          <a:ext cx="4737735" cy="74136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635000</xdr:colOff>
      <xdr:row>12</xdr:row>
      <xdr:rowOff>0</xdr:rowOff>
    </xdr:from>
    <xdr:to>
      <xdr:col>9</xdr:col>
      <xdr:colOff>60002</xdr:colOff>
      <xdr:row>24</xdr:row>
      <xdr:rowOff>117475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76B013-EBAD-4C5E-9105-B0A1299D0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8917" y="2434167"/>
          <a:ext cx="5862632" cy="22764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felagsradgjof.is/wp-content/uploads/2021/05/Kjarasamningur-FI-riki-april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B1" sqref="B1"/>
    </sheetView>
  </sheetViews>
  <sheetFormatPr defaultRowHeight="14.4" x14ac:dyDescent="0.3"/>
  <cols>
    <col min="1" max="1" width="41.88671875" bestFit="1" customWidth="1"/>
  </cols>
  <sheetData>
    <row r="1" spans="1:9" ht="117" customHeight="1" x14ac:dyDescent="0.3">
      <c r="A1" s="225" t="s">
        <v>66</v>
      </c>
      <c r="B1" s="226" t="s">
        <v>14</v>
      </c>
      <c r="C1" s="226" t="s">
        <v>15</v>
      </c>
      <c r="D1" s="226" t="s">
        <v>24</v>
      </c>
      <c r="E1" s="227" t="s">
        <v>26</v>
      </c>
      <c r="F1" s="228" t="s">
        <v>25</v>
      </c>
      <c r="G1" s="227" t="s">
        <v>65</v>
      </c>
      <c r="H1" s="226" t="s">
        <v>17</v>
      </c>
      <c r="I1" s="227" t="s">
        <v>18</v>
      </c>
    </row>
    <row r="2" spans="1:9" x14ac:dyDescent="0.3">
      <c r="A2" s="64" t="s">
        <v>31</v>
      </c>
      <c r="B2" s="65"/>
      <c r="C2" s="65"/>
      <c r="D2" s="65"/>
      <c r="E2" s="65"/>
      <c r="F2" s="65"/>
      <c r="G2" s="65"/>
      <c r="H2" s="65"/>
      <c r="I2" s="65"/>
    </row>
    <row r="3" spans="1:9" x14ac:dyDescent="0.3">
      <c r="A3" s="67" t="s">
        <v>30</v>
      </c>
      <c r="B3" s="35"/>
      <c r="C3" s="35"/>
      <c r="D3" s="35"/>
      <c r="E3" s="35"/>
      <c r="F3" s="35" t="s">
        <v>21</v>
      </c>
      <c r="G3" s="35" t="s">
        <v>21</v>
      </c>
      <c r="H3" s="35" t="s">
        <v>21</v>
      </c>
      <c r="I3" s="35"/>
    </row>
    <row r="4" spans="1:9" x14ac:dyDescent="0.3">
      <c r="A4" s="67" t="s">
        <v>1</v>
      </c>
      <c r="B4" s="35"/>
      <c r="C4" s="35" t="s">
        <v>21</v>
      </c>
      <c r="D4" s="35"/>
      <c r="E4" s="35" t="s">
        <v>21</v>
      </c>
      <c r="F4" s="35" t="s">
        <v>21</v>
      </c>
      <c r="G4" s="35" t="s">
        <v>21</v>
      </c>
      <c r="H4" s="35" t="s">
        <v>21</v>
      </c>
      <c r="I4" s="35"/>
    </row>
    <row r="5" spans="1:9" x14ac:dyDescent="0.3">
      <c r="A5" s="67" t="s">
        <v>32</v>
      </c>
      <c r="B5" s="35"/>
      <c r="C5" s="35"/>
      <c r="D5" s="35"/>
      <c r="E5" s="35"/>
      <c r="F5" s="35" t="s">
        <v>21</v>
      </c>
      <c r="G5" s="35" t="s">
        <v>21</v>
      </c>
      <c r="H5" s="35" t="s">
        <v>21</v>
      </c>
      <c r="I5" s="35"/>
    </row>
    <row r="6" spans="1:9" x14ac:dyDescent="0.3">
      <c r="A6" s="67" t="s">
        <v>33</v>
      </c>
      <c r="B6" s="35"/>
      <c r="C6" s="35" t="s">
        <v>21</v>
      </c>
      <c r="D6" s="35"/>
      <c r="E6" s="35" t="s">
        <v>21</v>
      </c>
      <c r="F6" s="35" t="s">
        <v>21</v>
      </c>
      <c r="G6" s="35" t="s">
        <v>21</v>
      </c>
      <c r="H6" s="35" t="s">
        <v>21</v>
      </c>
      <c r="I6" s="35"/>
    </row>
    <row r="7" spans="1:9" x14ac:dyDescent="0.3">
      <c r="A7" s="66" t="s">
        <v>23</v>
      </c>
      <c r="B7" s="35"/>
      <c r="C7" s="35"/>
      <c r="D7" s="35"/>
      <c r="E7" s="35"/>
      <c r="F7" s="35"/>
      <c r="G7" s="35"/>
      <c r="H7" s="35"/>
      <c r="I7" s="35"/>
    </row>
    <row r="8" spans="1:9" x14ac:dyDescent="0.3">
      <c r="A8" s="67" t="s">
        <v>30</v>
      </c>
      <c r="B8" s="35" t="s">
        <v>21</v>
      </c>
      <c r="C8" s="35"/>
      <c r="D8" s="35"/>
      <c r="E8" s="35"/>
      <c r="F8" s="35" t="s">
        <v>21</v>
      </c>
      <c r="G8" s="35" t="s">
        <v>21</v>
      </c>
      <c r="H8" s="35" t="s">
        <v>21</v>
      </c>
      <c r="I8" s="35"/>
    </row>
    <row r="9" spans="1:9" x14ac:dyDescent="0.3">
      <c r="A9" s="67" t="s">
        <v>1</v>
      </c>
      <c r="B9" s="35" t="s">
        <v>21</v>
      </c>
      <c r="C9" s="35" t="s">
        <v>21</v>
      </c>
      <c r="D9" s="35"/>
      <c r="E9" s="35" t="s">
        <v>21</v>
      </c>
      <c r="F9" s="35" t="s">
        <v>21</v>
      </c>
      <c r="G9" s="35" t="s">
        <v>21</v>
      </c>
      <c r="H9" s="35" t="s">
        <v>21</v>
      </c>
      <c r="I9" s="35"/>
    </row>
    <row r="10" spans="1:9" x14ac:dyDescent="0.3">
      <c r="A10" s="67" t="s">
        <v>32</v>
      </c>
      <c r="B10" s="35" t="s">
        <v>21</v>
      </c>
      <c r="C10" s="35"/>
      <c r="D10" s="35"/>
      <c r="E10" s="35"/>
      <c r="F10" s="35" t="s">
        <v>21</v>
      </c>
      <c r="G10" s="35" t="s">
        <v>21</v>
      </c>
      <c r="H10" s="35" t="s">
        <v>21</v>
      </c>
      <c r="I10" s="35"/>
    </row>
    <row r="11" spans="1:9" x14ac:dyDescent="0.3">
      <c r="A11" s="67" t="s">
        <v>33</v>
      </c>
      <c r="B11" s="35" t="s">
        <v>21</v>
      </c>
      <c r="C11" s="35" t="s">
        <v>21</v>
      </c>
      <c r="D11" s="35"/>
      <c r="E11" s="35" t="s">
        <v>21</v>
      </c>
      <c r="F11" s="35" t="s">
        <v>21</v>
      </c>
      <c r="G11" s="35" t="s">
        <v>21</v>
      </c>
      <c r="H11" s="35" t="s">
        <v>21</v>
      </c>
      <c r="I11" s="35"/>
    </row>
    <row r="12" spans="1:9" x14ac:dyDescent="0.3">
      <c r="A12" s="66" t="s">
        <v>19</v>
      </c>
      <c r="B12" s="35"/>
      <c r="C12" s="35"/>
      <c r="D12" s="35"/>
      <c r="E12" s="35"/>
      <c r="F12" s="35"/>
      <c r="G12" s="35"/>
      <c r="H12" s="35"/>
      <c r="I12" s="35"/>
    </row>
    <row r="13" spans="1:9" x14ac:dyDescent="0.3">
      <c r="A13" s="67" t="s">
        <v>20</v>
      </c>
      <c r="B13" s="35" t="s">
        <v>21</v>
      </c>
      <c r="C13" s="35" t="s">
        <v>21</v>
      </c>
      <c r="D13" s="35" t="s">
        <v>21</v>
      </c>
      <c r="E13" s="35" t="s">
        <v>21</v>
      </c>
      <c r="F13" s="35" t="s">
        <v>21</v>
      </c>
      <c r="G13" s="35" t="s">
        <v>21</v>
      </c>
      <c r="H13" s="35" t="s">
        <v>21</v>
      </c>
      <c r="I13" s="35" t="s">
        <v>21</v>
      </c>
    </row>
    <row r="14" spans="1:9" x14ac:dyDescent="0.3">
      <c r="A14" s="67" t="s">
        <v>22</v>
      </c>
      <c r="B14" s="35" t="s">
        <v>21</v>
      </c>
      <c r="C14" s="35" t="s">
        <v>21</v>
      </c>
      <c r="D14" s="35"/>
      <c r="E14" s="35" t="s">
        <v>21</v>
      </c>
      <c r="F14" s="35" t="s">
        <v>21</v>
      </c>
      <c r="G14" s="35" t="s">
        <v>21</v>
      </c>
      <c r="H14" s="35" t="s">
        <v>21</v>
      </c>
      <c r="I14" s="35" t="s">
        <v>21</v>
      </c>
    </row>
    <row r="15" spans="1:9" x14ac:dyDescent="0.3">
      <c r="A15" s="67" t="s">
        <v>34</v>
      </c>
      <c r="B15" s="35" t="s">
        <v>21</v>
      </c>
      <c r="C15" s="35" t="s">
        <v>21</v>
      </c>
      <c r="D15" s="35" t="s">
        <v>21</v>
      </c>
      <c r="E15" s="35" t="s">
        <v>21</v>
      </c>
      <c r="F15" s="35" t="s">
        <v>21</v>
      </c>
      <c r="G15" s="35" t="s">
        <v>21</v>
      </c>
      <c r="H15" s="35" t="s">
        <v>21</v>
      </c>
      <c r="I15" s="35" t="s">
        <v>21</v>
      </c>
    </row>
    <row r="16" spans="1:9" x14ac:dyDescent="0.3">
      <c r="B16" s="3"/>
      <c r="C16" s="3"/>
      <c r="D16" s="3"/>
      <c r="E16" s="3"/>
      <c r="F16" s="3"/>
      <c r="G16" s="3"/>
      <c r="H16" s="3"/>
      <c r="I16" s="3"/>
    </row>
    <row r="17" spans="2:9" x14ac:dyDescent="0.3">
      <c r="B17" s="3"/>
      <c r="C17" s="3"/>
      <c r="D17" s="3"/>
      <c r="E17" s="3"/>
      <c r="F17" s="3"/>
      <c r="G17" s="3"/>
      <c r="H17" s="3"/>
      <c r="I17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0"/>
  <sheetViews>
    <sheetView topLeftCell="D3" zoomScale="90" zoomScaleNormal="90" workbookViewId="0">
      <selection activeCell="L19" sqref="L19"/>
    </sheetView>
  </sheetViews>
  <sheetFormatPr defaultRowHeight="14.4" x14ac:dyDescent="0.3"/>
  <cols>
    <col min="1" max="1" width="8.21875" customWidth="1"/>
    <col min="2" max="3" width="8.6640625" customWidth="1"/>
    <col min="4" max="4" width="52" customWidth="1"/>
    <col min="5" max="8" width="12.109375" customWidth="1"/>
    <col min="10" max="10" width="22.33203125" customWidth="1"/>
    <col min="11" max="11" width="30" customWidth="1"/>
    <col min="12" max="12" width="8.6640625" customWidth="1"/>
    <col min="13" max="18" width="7.6640625" customWidth="1"/>
    <col min="19" max="19" width="10" bestFit="1" customWidth="1"/>
    <col min="22" max="22" width="35.33203125" bestFit="1" customWidth="1"/>
    <col min="25" max="33" width="4.21875" customWidth="1"/>
  </cols>
  <sheetData>
    <row r="1" spans="2:23" s="123" customFormat="1" ht="18" customHeight="1" x14ac:dyDescent="0.3">
      <c r="B1" s="162" t="s">
        <v>129</v>
      </c>
      <c r="C1" s="163"/>
      <c r="D1" s="163"/>
      <c r="E1" s="163"/>
      <c r="F1" s="163"/>
      <c r="G1" s="163"/>
      <c r="H1" s="164"/>
    </row>
    <row r="2" spans="2:23" s="123" customFormat="1" ht="18" customHeight="1" x14ac:dyDescent="0.3">
      <c r="B2" s="165" t="s">
        <v>132</v>
      </c>
      <c r="C2" s="166"/>
      <c r="D2" s="166"/>
      <c r="E2" s="166"/>
      <c r="F2" s="166"/>
      <c r="G2" s="166"/>
      <c r="H2" s="167"/>
    </row>
    <row r="3" spans="2:23" s="123" customFormat="1" x14ac:dyDescent="0.3">
      <c r="B3" s="321" t="s">
        <v>131</v>
      </c>
      <c r="C3" s="322"/>
      <c r="D3" s="168" t="s">
        <v>37</v>
      </c>
      <c r="E3" s="310" t="s">
        <v>31</v>
      </c>
      <c r="F3" s="311"/>
      <c r="G3" s="310" t="s">
        <v>23</v>
      </c>
      <c r="H3" s="311"/>
      <c r="J3" s="124" t="s">
        <v>119</v>
      </c>
    </row>
    <row r="4" spans="2:23" s="123" customFormat="1" x14ac:dyDescent="0.3">
      <c r="B4" s="169" t="s">
        <v>128</v>
      </c>
      <c r="C4" s="170" t="s">
        <v>130</v>
      </c>
      <c r="D4" s="171" t="s">
        <v>133</v>
      </c>
      <c r="E4" s="169" t="s">
        <v>43</v>
      </c>
      <c r="F4" s="170" t="s">
        <v>38</v>
      </c>
      <c r="G4" s="169" t="s">
        <v>43</v>
      </c>
      <c r="H4" s="170" t="s">
        <v>38</v>
      </c>
      <c r="J4" s="125" t="s">
        <v>120</v>
      </c>
      <c r="K4" s="125"/>
      <c r="L4" s="125"/>
      <c r="M4" s="312" t="s">
        <v>3</v>
      </c>
      <c r="N4" s="313"/>
      <c r="O4" s="313"/>
      <c r="P4" s="313"/>
      <c r="Q4" s="313"/>
      <c r="R4" s="313"/>
      <c r="S4" s="314"/>
    </row>
    <row r="5" spans="2:23" x14ac:dyDescent="0.3">
      <c r="B5" s="148" t="s">
        <v>185</v>
      </c>
      <c r="C5" s="127"/>
      <c r="D5" s="149" t="s">
        <v>146</v>
      </c>
      <c r="E5" s="152" t="s">
        <v>36</v>
      </c>
      <c r="F5" s="152" t="s">
        <v>36</v>
      </c>
      <c r="G5" s="152" t="s">
        <v>36</v>
      </c>
      <c r="H5" s="152" t="s">
        <v>36</v>
      </c>
      <c r="J5" s="2" t="s">
        <v>38</v>
      </c>
      <c r="K5" s="2"/>
      <c r="L5" s="2" t="s">
        <v>35</v>
      </c>
      <c r="M5" s="12" t="s">
        <v>5</v>
      </c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2" t="s">
        <v>12</v>
      </c>
      <c r="W5" s="20"/>
    </row>
    <row r="6" spans="2:23" x14ac:dyDescent="0.3">
      <c r="B6" s="214">
        <v>4</v>
      </c>
      <c r="C6" s="129"/>
      <c r="D6" s="149" t="s">
        <v>14</v>
      </c>
      <c r="E6" s="152"/>
      <c r="F6" s="152"/>
      <c r="G6" s="152" t="s">
        <v>36</v>
      </c>
      <c r="H6" s="152" t="s">
        <v>36</v>
      </c>
      <c r="J6" t="s">
        <v>145</v>
      </c>
      <c r="K6" t="s">
        <v>39</v>
      </c>
      <c r="L6">
        <f>SUM(M6:S6)</f>
        <v>17</v>
      </c>
      <c r="M6" s="11">
        <v>9</v>
      </c>
      <c r="N6" s="11">
        <v>3</v>
      </c>
      <c r="O6" s="11">
        <v>2</v>
      </c>
      <c r="P6" s="16">
        <v>1</v>
      </c>
      <c r="Q6" s="16">
        <v>1</v>
      </c>
      <c r="R6" s="16">
        <v>1</v>
      </c>
      <c r="S6" s="16">
        <v>0</v>
      </c>
      <c r="V6" s="38"/>
    </row>
    <row r="7" spans="2:23" x14ac:dyDescent="0.3">
      <c r="B7" s="146"/>
      <c r="C7" s="303">
        <v>1</v>
      </c>
      <c r="D7" s="150" t="s">
        <v>147</v>
      </c>
      <c r="E7" s="152"/>
      <c r="F7" s="152"/>
      <c r="G7" s="152" t="s">
        <v>36</v>
      </c>
      <c r="H7" s="152" t="s">
        <v>36</v>
      </c>
      <c r="J7" t="s">
        <v>16</v>
      </c>
      <c r="L7">
        <f>SUM(M7:S7)</f>
        <v>21</v>
      </c>
      <c r="M7" s="11">
        <v>21</v>
      </c>
      <c r="N7" s="11"/>
      <c r="O7" s="11"/>
      <c r="P7" s="16"/>
      <c r="Q7" s="16"/>
      <c r="R7" s="16"/>
      <c r="S7" s="11"/>
      <c r="V7" s="38"/>
    </row>
    <row r="8" spans="2:23" x14ac:dyDescent="0.3">
      <c r="B8" s="146">
        <v>0.5</v>
      </c>
      <c r="C8" s="146">
        <f>+B8</f>
        <v>0.5</v>
      </c>
      <c r="D8" s="149" t="s">
        <v>148</v>
      </c>
      <c r="E8" s="152" t="s">
        <v>36</v>
      </c>
      <c r="F8" s="152" t="s">
        <v>36</v>
      </c>
      <c r="G8" s="152" t="s">
        <v>36</v>
      </c>
      <c r="H8" s="152" t="s">
        <v>36</v>
      </c>
      <c r="J8" s="137" t="s">
        <v>27</v>
      </c>
      <c r="K8" s="137"/>
      <c r="L8" s="137">
        <f>+L6+L7</f>
        <v>38</v>
      </c>
      <c r="M8" s="137">
        <f t="shared" ref="M8:S8" si="0">SUM(M6:M7)</f>
        <v>30</v>
      </c>
      <c r="N8" s="137">
        <f t="shared" si="0"/>
        <v>3</v>
      </c>
      <c r="O8" s="137">
        <f t="shared" si="0"/>
        <v>2</v>
      </c>
      <c r="P8" s="137">
        <f t="shared" si="0"/>
        <v>1</v>
      </c>
      <c r="Q8" s="137">
        <f t="shared" si="0"/>
        <v>1</v>
      </c>
      <c r="R8" s="137">
        <f t="shared" si="0"/>
        <v>1</v>
      </c>
      <c r="S8" s="137">
        <f t="shared" si="0"/>
        <v>0</v>
      </c>
      <c r="V8" s="38"/>
    </row>
    <row r="9" spans="2:23" x14ac:dyDescent="0.3">
      <c r="B9" s="146">
        <v>0.5</v>
      </c>
      <c r="C9" s="146">
        <f>+B9</f>
        <v>0.5</v>
      </c>
      <c r="D9" s="149" t="s">
        <v>149</v>
      </c>
      <c r="E9" s="152" t="s">
        <v>36</v>
      </c>
      <c r="F9" s="152" t="s">
        <v>36</v>
      </c>
      <c r="G9" s="152" t="s">
        <v>36</v>
      </c>
      <c r="H9" s="152" t="s">
        <v>36</v>
      </c>
      <c r="J9" s="1"/>
      <c r="V9" s="38"/>
    </row>
    <row r="10" spans="2:23" x14ac:dyDescent="0.3">
      <c r="B10" s="146">
        <v>0.5</v>
      </c>
      <c r="C10" s="146">
        <f>+B10</f>
        <v>0.5</v>
      </c>
      <c r="D10" s="149" t="s">
        <v>150</v>
      </c>
      <c r="E10" s="152" t="s">
        <v>36</v>
      </c>
      <c r="F10" s="152" t="s">
        <v>36</v>
      </c>
      <c r="G10" s="152" t="s">
        <v>36</v>
      </c>
      <c r="H10" s="152" t="s">
        <v>36</v>
      </c>
      <c r="J10" s="90" t="s">
        <v>169</v>
      </c>
      <c r="K10" s="90"/>
      <c r="L10" s="90"/>
      <c r="M10" s="315" t="s">
        <v>3</v>
      </c>
      <c r="N10" s="316"/>
      <c r="O10" s="316"/>
      <c r="P10" s="316"/>
      <c r="Q10" s="316"/>
      <c r="R10" s="316"/>
      <c r="S10" s="317"/>
      <c r="V10" s="38"/>
    </row>
    <row r="11" spans="2:23" x14ac:dyDescent="0.3">
      <c r="B11" s="146">
        <v>0.5</v>
      </c>
      <c r="C11" s="146">
        <f>+B11</f>
        <v>0.5</v>
      </c>
      <c r="D11" s="149" t="s">
        <v>151</v>
      </c>
      <c r="E11" s="152" t="s">
        <v>36</v>
      </c>
      <c r="F11" s="152" t="s">
        <v>36</v>
      </c>
      <c r="G11" s="152" t="s">
        <v>36</v>
      </c>
      <c r="H11" s="152" t="s">
        <v>36</v>
      </c>
      <c r="J11" s="2" t="s">
        <v>38</v>
      </c>
      <c r="K11" s="2"/>
      <c r="L11" s="2" t="s">
        <v>35</v>
      </c>
      <c r="M11" s="12" t="s">
        <v>5</v>
      </c>
      <c r="N11" s="12" t="s">
        <v>6</v>
      </c>
      <c r="O11" s="12" t="s">
        <v>7</v>
      </c>
      <c r="P11" s="12" t="s">
        <v>8</v>
      </c>
      <c r="Q11" s="12" t="s">
        <v>9</v>
      </c>
      <c r="R11" s="12" t="s">
        <v>10</v>
      </c>
      <c r="S11" s="12" t="s">
        <v>12</v>
      </c>
      <c r="V11" s="38"/>
    </row>
    <row r="12" spans="2:23" x14ac:dyDescent="0.3">
      <c r="B12" s="146">
        <v>0.5</v>
      </c>
      <c r="C12" s="146">
        <f>+B12</f>
        <v>0.5</v>
      </c>
      <c r="D12" s="149" t="s">
        <v>152</v>
      </c>
      <c r="E12" s="152" t="s">
        <v>36</v>
      </c>
      <c r="F12" s="152" t="s">
        <v>36</v>
      </c>
      <c r="G12" s="152" t="s">
        <v>36</v>
      </c>
      <c r="H12" s="152" t="s">
        <v>36</v>
      </c>
      <c r="J12" t="s">
        <v>145</v>
      </c>
      <c r="K12" t="s">
        <v>40</v>
      </c>
      <c r="L12">
        <f>SUM(M12:S12)</f>
        <v>6</v>
      </c>
      <c r="M12" s="11">
        <v>1</v>
      </c>
      <c r="N12" s="11">
        <v>1</v>
      </c>
      <c r="O12" s="11">
        <v>1</v>
      </c>
      <c r="P12" s="16">
        <v>1</v>
      </c>
      <c r="Q12" s="16">
        <v>1</v>
      </c>
      <c r="R12" s="16">
        <v>1</v>
      </c>
      <c r="S12" s="16">
        <v>0</v>
      </c>
      <c r="V12" s="38"/>
    </row>
    <row r="13" spans="2:23" x14ac:dyDescent="0.3">
      <c r="B13" s="146">
        <v>3</v>
      </c>
      <c r="C13" s="146"/>
      <c r="D13" s="149" t="s">
        <v>258</v>
      </c>
      <c r="E13" s="152"/>
      <c r="F13" s="152"/>
      <c r="G13" s="152" t="s">
        <v>36</v>
      </c>
      <c r="H13" s="152" t="s">
        <v>127</v>
      </c>
      <c r="J13" s="137" t="s">
        <v>27</v>
      </c>
      <c r="K13" s="137"/>
      <c r="L13" s="137">
        <f t="shared" ref="L13:S13" si="1">SUM(L12:L12)</f>
        <v>6</v>
      </c>
      <c r="M13" s="137">
        <f t="shared" si="1"/>
        <v>1</v>
      </c>
      <c r="N13" s="137">
        <f t="shared" si="1"/>
        <v>1</v>
      </c>
      <c r="O13" s="137">
        <f t="shared" si="1"/>
        <v>1</v>
      </c>
      <c r="P13" s="137">
        <f t="shared" si="1"/>
        <v>1</v>
      </c>
      <c r="Q13" s="137">
        <f t="shared" si="1"/>
        <v>1</v>
      </c>
      <c r="R13" s="137">
        <f t="shared" si="1"/>
        <v>1</v>
      </c>
      <c r="S13" s="137">
        <f t="shared" si="1"/>
        <v>0</v>
      </c>
      <c r="V13" s="38"/>
    </row>
    <row r="14" spans="2:23" x14ac:dyDescent="0.3">
      <c r="B14" s="146">
        <v>1.5</v>
      </c>
      <c r="C14" s="146"/>
      <c r="D14" s="149" t="s">
        <v>153</v>
      </c>
      <c r="E14" s="152"/>
      <c r="F14" s="152"/>
      <c r="G14" s="152" t="s">
        <v>36</v>
      </c>
      <c r="H14" s="152" t="s">
        <v>127</v>
      </c>
      <c r="V14" s="38"/>
    </row>
    <row r="15" spans="2:23" x14ac:dyDescent="0.3">
      <c r="B15" s="146">
        <v>2</v>
      </c>
      <c r="C15" s="146">
        <f>+B15</f>
        <v>2</v>
      </c>
      <c r="D15" s="149" t="s">
        <v>154</v>
      </c>
      <c r="E15" s="152" t="s">
        <v>36</v>
      </c>
      <c r="F15" s="152" t="s">
        <v>127</v>
      </c>
      <c r="G15" s="152" t="s">
        <v>36</v>
      </c>
      <c r="H15" s="152" t="s">
        <v>127</v>
      </c>
    </row>
    <row r="16" spans="2:23" x14ac:dyDescent="0.3">
      <c r="B16" s="146">
        <v>2</v>
      </c>
      <c r="C16" s="146"/>
      <c r="D16" s="149" t="s">
        <v>155</v>
      </c>
      <c r="E16" s="152"/>
      <c r="F16" s="152"/>
      <c r="G16" s="152" t="s">
        <v>36</v>
      </c>
      <c r="H16" s="152" t="s">
        <v>127</v>
      </c>
      <c r="J16" s="105" t="s">
        <v>122</v>
      </c>
    </row>
    <row r="17" spans="1:19" x14ac:dyDescent="0.3">
      <c r="B17" s="146">
        <v>0.5</v>
      </c>
      <c r="C17" s="146"/>
      <c r="D17" s="149" t="s">
        <v>156</v>
      </c>
      <c r="E17" s="152"/>
      <c r="F17" s="152"/>
      <c r="G17" s="152" t="s">
        <v>36</v>
      </c>
      <c r="H17" s="152" t="s">
        <v>127</v>
      </c>
      <c r="J17" s="28" t="s">
        <v>120</v>
      </c>
      <c r="K17" s="28"/>
      <c r="L17" s="28"/>
      <c r="M17" s="318" t="s">
        <v>3</v>
      </c>
      <c r="N17" s="319"/>
      <c r="O17" s="319"/>
      <c r="P17" s="319"/>
      <c r="Q17" s="319"/>
      <c r="R17" s="319"/>
      <c r="S17" s="320"/>
    </row>
    <row r="18" spans="1:19" x14ac:dyDescent="0.3">
      <c r="B18" s="146">
        <v>0.5</v>
      </c>
      <c r="C18" s="146"/>
      <c r="D18" s="149" t="s">
        <v>157</v>
      </c>
      <c r="E18" s="152"/>
      <c r="F18" s="152"/>
      <c r="G18" s="152" t="s">
        <v>36</v>
      </c>
      <c r="H18" s="152" t="s">
        <v>127</v>
      </c>
      <c r="J18" s="2" t="s">
        <v>38</v>
      </c>
      <c r="K18" s="2"/>
      <c r="L18" s="2" t="s">
        <v>35</v>
      </c>
      <c r="M18" s="12" t="s">
        <v>5</v>
      </c>
      <c r="N18" s="12" t="s">
        <v>6</v>
      </c>
      <c r="O18" s="12" t="s">
        <v>7</v>
      </c>
      <c r="P18" s="12" t="s">
        <v>8</v>
      </c>
      <c r="Q18" s="12" t="s">
        <v>9</v>
      </c>
      <c r="R18" s="12" t="s">
        <v>10</v>
      </c>
      <c r="S18" s="12" t="s">
        <v>12</v>
      </c>
    </row>
    <row r="19" spans="1:19" x14ac:dyDescent="0.3">
      <c r="B19" s="146">
        <v>0.5</v>
      </c>
      <c r="C19" s="146"/>
      <c r="D19" s="149" t="s">
        <v>158</v>
      </c>
      <c r="E19" s="152"/>
      <c r="F19" s="152"/>
      <c r="G19" s="152" t="s">
        <v>36</v>
      </c>
      <c r="H19" s="152" t="s">
        <v>127</v>
      </c>
      <c r="J19" t="s">
        <v>145</v>
      </c>
      <c r="K19" t="s">
        <v>39</v>
      </c>
      <c r="L19">
        <f>SUM(M19:S19)</f>
        <v>36</v>
      </c>
      <c r="M19" s="11">
        <v>24</v>
      </c>
      <c r="N19" s="11">
        <v>4</v>
      </c>
      <c r="O19" s="11">
        <v>2</v>
      </c>
      <c r="P19" s="11">
        <v>2</v>
      </c>
      <c r="Q19" s="16">
        <v>2</v>
      </c>
      <c r="R19" s="16">
        <v>2</v>
      </c>
      <c r="S19" s="16">
        <v>0</v>
      </c>
    </row>
    <row r="20" spans="1:19" x14ac:dyDescent="0.3">
      <c r="B20" s="304">
        <v>2</v>
      </c>
      <c r="C20" s="146"/>
      <c r="D20" s="149" t="s">
        <v>259</v>
      </c>
      <c r="E20" s="152" t="s">
        <v>36</v>
      </c>
      <c r="F20" s="152" t="s">
        <v>36</v>
      </c>
      <c r="G20" s="152" t="s">
        <v>36</v>
      </c>
      <c r="H20" s="152" t="s">
        <v>36</v>
      </c>
      <c r="J20" t="s">
        <v>16</v>
      </c>
      <c r="L20">
        <f>SUM(M20:S20)</f>
        <v>21</v>
      </c>
      <c r="M20" s="11">
        <v>21</v>
      </c>
      <c r="N20" s="11"/>
      <c r="O20" s="11"/>
      <c r="P20" s="16"/>
      <c r="Q20" s="16"/>
      <c r="R20" s="16"/>
      <c r="S20" s="11"/>
    </row>
    <row r="21" spans="1:19" x14ac:dyDescent="0.3">
      <c r="B21" s="147">
        <v>2</v>
      </c>
      <c r="C21" s="147"/>
      <c r="D21" s="151" t="s">
        <v>159</v>
      </c>
      <c r="E21" s="152"/>
      <c r="F21" s="152"/>
      <c r="G21" s="152" t="s">
        <v>36</v>
      </c>
      <c r="H21" s="152" t="s">
        <v>127</v>
      </c>
      <c r="J21" s="138" t="s">
        <v>27</v>
      </c>
      <c r="K21" s="138"/>
      <c r="L21" s="138">
        <f>+L19+L20</f>
        <v>57</v>
      </c>
      <c r="M21" s="138">
        <f t="shared" ref="M21:S21" si="2">SUM(M19:M20)</f>
        <v>45</v>
      </c>
      <c r="N21" s="138">
        <f t="shared" si="2"/>
        <v>4</v>
      </c>
      <c r="O21" s="138">
        <f t="shared" si="2"/>
        <v>2</v>
      </c>
      <c r="P21" s="138">
        <f t="shared" si="2"/>
        <v>2</v>
      </c>
      <c r="Q21" s="138">
        <f t="shared" si="2"/>
        <v>2</v>
      </c>
      <c r="R21" s="138">
        <f t="shared" si="2"/>
        <v>2</v>
      </c>
      <c r="S21" s="138">
        <f t="shared" si="2"/>
        <v>0</v>
      </c>
    </row>
    <row r="22" spans="1:19" x14ac:dyDescent="0.3">
      <c r="B22" s="139"/>
      <c r="C22" s="139"/>
      <c r="D22" s="8"/>
      <c r="E22" s="175" t="s">
        <v>135</v>
      </c>
      <c r="F22" s="176">
        <f>4+SUM(B8:C12)+B15+C15+B20</f>
        <v>15</v>
      </c>
      <c r="G22" s="175" t="s">
        <v>135</v>
      </c>
      <c r="H22" s="176">
        <f>+SUM(B6:C21)+4</f>
        <v>30</v>
      </c>
    </row>
    <row r="23" spans="1:19" x14ac:dyDescent="0.3">
      <c r="A23" s="7"/>
      <c r="B23" s="139"/>
      <c r="C23" s="139"/>
      <c r="D23" s="8"/>
      <c r="E23" s="177" t="s">
        <v>136</v>
      </c>
      <c r="F23" s="178">
        <f>+F22+4</f>
        <v>19</v>
      </c>
      <c r="G23" s="177" t="s">
        <v>136</v>
      </c>
      <c r="H23" s="178">
        <f>+SUM(B6:C21)+10</f>
        <v>36</v>
      </c>
      <c r="J23" s="28" t="s">
        <v>121</v>
      </c>
      <c r="K23" s="28"/>
      <c r="L23" s="28"/>
      <c r="M23" s="210" t="s">
        <v>3</v>
      </c>
      <c r="N23" s="211"/>
      <c r="O23" s="211"/>
      <c r="P23" s="211"/>
      <c r="Q23" s="211"/>
      <c r="R23" s="211"/>
      <c r="S23" s="212"/>
    </row>
    <row r="24" spans="1:19" x14ac:dyDescent="0.3">
      <c r="A24" s="7"/>
      <c r="B24" s="128"/>
      <c r="C24" s="128"/>
      <c r="D24" s="39"/>
      <c r="E24" s="129"/>
      <c r="F24" s="129"/>
      <c r="G24" s="129"/>
      <c r="H24" s="129"/>
      <c r="J24" s="2" t="s">
        <v>38</v>
      </c>
      <c r="K24" s="2"/>
      <c r="L24" s="2" t="s">
        <v>35</v>
      </c>
      <c r="M24" s="12" t="s">
        <v>5</v>
      </c>
      <c r="N24" s="12" t="s">
        <v>6</v>
      </c>
      <c r="O24" s="12" t="s">
        <v>7</v>
      </c>
      <c r="P24" s="12" t="s">
        <v>8</v>
      </c>
      <c r="Q24" s="12" t="s">
        <v>9</v>
      </c>
      <c r="R24" s="12" t="s">
        <v>10</v>
      </c>
      <c r="S24" s="12" t="s">
        <v>12</v>
      </c>
    </row>
    <row r="25" spans="1:19" s="11" customFormat="1" x14ac:dyDescent="0.3">
      <c r="B25" s="306" t="s">
        <v>131</v>
      </c>
      <c r="C25" s="307"/>
      <c r="D25" s="172" t="s">
        <v>134</v>
      </c>
      <c r="E25" s="308" t="s">
        <v>31</v>
      </c>
      <c r="F25" s="309"/>
      <c r="G25" s="308" t="s">
        <v>23</v>
      </c>
      <c r="H25" s="309"/>
      <c r="J25" t="s">
        <v>145</v>
      </c>
      <c r="K25" t="s">
        <v>40</v>
      </c>
      <c r="L25">
        <f>SUM(M25:S25)</f>
        <v>9</v>
      </c>
      <c r="M25" s="33">
        <v>2</v>
      </c>
      <c r="N25" s="33">
        <v>2</v>
      </c>
      <c r="O25" s="33">
        <v>2</v>
      </c>
      <c r="P25" s="33">
        <v>1</v>
      </c>
      <c r="Q25" s="33">
        <v>1</v>
      </c>
      <c r="R25" s="33">
        <v>1</v>
      </c>
      <c r="S25" s="33">
        <v>0</v>
      </c>
    </row>
    <row r="26" spans="1:19" x14ac:dyDescent="0.3">
      <c r="B26" s="169" t="s">
        <v>128</v>
      </c>
      <c r="C26" s="170" t="s">
        <v>130</v>
      </c>
      <c r="D26" s="171" t="s">
        <v>133</v>
      </c>
      <c r="E26" s="173" t="s">
        <v>43</v>
      </c>
      <c r="F26" s="174" t="s">
        <v>38</v>
      </c>
      <c r="G26" s="173" t="s">
        <v>43</v>
      </c>
      <c r="H26" s="174" t="s">
        <v>38</v>
      </c>
      <c r="J26" s="138" t="s">
        <v>27</v>
      </c>
      <c r="K26" s="138"/>
      <c r="L26" s="138">
        <f t="shared" ref="L26:S26" si="3">SUM(L25:L25)</f>
        <v>9</v>
      </c>
      <c r="M26" s="138">
        <f t="shared" si="3"/>
        <v>2</v>
      </c>
      <c r="N26" s="138">
        <f t="shared" si="3"/>
        <v>2</v>
      </c>
      <c r="O26" s="138">
        <f t="shared" si="3"/>
        <v>2</v>
      </c>
      <c r="P26" s="138">
        <f t="shared" si="3"/>
        <v>1</v>
      </c>
      <c r="Q26" s="138">
        <f t="shared" si="3"/>
        <v>1</v>
      </c>
      <c r="R26" s="138">
        <f t="shared" si="3"/>
        <v>1</v>
      </c>
      <c r="S26" s="138">
        <f t="shared" si="3"/>
        <v>0</v>
      </c>
    </row>
    <row r="27" spans="1:19" x14ac:dyDescent="0.3">
      <c r="B27" s="146">
        <v>1</v>
      </c>
      <c r="C27" s="126"/>
      <c r="D27" s="149" t="s">
        <v>146</v>
      </c>
      <c r="E27" s="152" t="s">
        <v>36</v>
      </c>
      <c r="F27" s="152" t="s">
        <v>36</v>
      </c>
      <c r="G27" s="152" t="s">
        <v>36</v>
      </c>
      <c r="H27" s="152" t="s">
        <v>36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3">
      <c r="B28" s="146">
        <v>1</v>
      </c>
      <c r="C28" s="126"/>
      <c r="D28" s="149" t="s">
        <v>14</v>
      </c>
      <c r="E28" s="152"/>
      <c r="F28" s="152"/>
      <c r="G28" s="152" t="s">
        <v>36</v>
      </c>
      <c r="H28" s="152" t="s">
        <v>36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3">
      <c r="B29" s="146">
        <v>0.5</v>
      </c>
      <c r="C29" s="126"/>
      <c r="D29" s="150" t="s">
        <v>168</v>
      </c>
      <c r="E29" s="152" t="s">
        <v>36</v>
      </c>
      <c r="F29" s="152" t="s">
        <v>36</v>
      </c>
      <c r="G29" s="152" t="s">
        <v>36</v>
      </c>
      <c r="H29" s="152" t="s">
        <v>36</v>
      </c>
      <c r="J29" s="134" t="s">
        <v>178</v>
      </c>
    </row>
    <row r="30" spans="1:19" x14ac:dyDescent="0.3">
      <c r="B30" s="146">
        <v>0.5</v>
      </c>
      <c r="C30" s="126"/>
      <c r="D30" s="150" t="s">
        <v>160</v>
      </c>
      <c r="E30" s="152" t="s">
        <v>36</v>
      </c>
      <c r="F30" s="152" t="s">
        <v>36</v>
      </c>
      <c r="G30" s="152" t="s">
        <v>36</v>
      </c>
      <c r="H30" s="152" t="s">
        <v>36</v>
      </c>
      <c r="J30" s="134" t="s">
        <v>262</v>
      </c>
    </row>
    <row r="31" spans="1:19" x14ac:dyDescent="0.3">
      <c r="B31" s="146">
        <v>1</v>
      </c>
      <c r="C31" s="126"/>
      <c r="D31" s="150" t="s">
        <v>161</v>
      </c>
      <c r="E31" s="152" t="s">
        <v>36</v>
      </c>
      <c r="F31" s="152" t="s">
        <v>36</v>
      </c>
      <c r="G31" s="152" t="s">
        <v>36</v>
      </c>
      <c r="H31" s="152" t="s">
        <v>36</v>
      </c>
      <c r="J31" s="305" t="s">
        <v>263</v>
      </c>
      <c r="K31" s="14" t="s">
        <v>259</v>
      </c>
      <c r="L31" s="14"/>
    </row>
    <row r="32" spans="1:19" x14ac:dyDescent="0.3">
      <c r="B32" s="146">
        <v>3</v>
      </c>
      <c r="C32" s="126"/>
      <c r="D32" s="150" t="s">
        <v>261</v>
      </c>
      <c r="E32" s="152" t="s">
        <v>36</v>
      </c>
      <c r="F32" s="152" t="s">
        <v>36</v>
      </c>
      <c r="G32" s="152" t="s">
        <v>36</v>
      </c>
      <c r="H32" s="152" t="s">
        <v>36</v>
      </c>
      <c r="J32" s="305" t="s">
        <v>299</v>
      </c>
      <c r="K32" s="14" t="s">
        <v>264</v>
      </c>
      <c r="L32" s="14"/>
    </row>
    <row r="33" spans="2:12" x14ac:dyDescent="0.3">
      <c r="B33" s="304">
        <f>1+1</f>
        <v>2</v>
      </c>
      <c r="C33" s="126"/>
      <c r="D33" s="149" t="s">
        <v>162</v>
      </c>
      <c r="E33" s="152"/>
      <c r="F33" s="152"/>
      <c r="G33" s="152" t="s">
        <v>36</v>
      </c>
      <c r="H33" s="152" t="s">
        <v>127</v>
      </c>
      <c r="J33" s="14" t="s">
        <v>265</v>
      </c>
      <c r="K33" s="14" t="s">
        <v>162</v>
      </c>
      <c r="L33" s="14"/>
    </row>
    <row r="34" spans="2:12" x14ac:dyDescent="0.3">
      <c r="B34" s="140"/>
      <c r="C34" s="140"/>
      <c r="D34" s="122"/>
      <c r="E34" s="179" t="s">
        <v>35</v>
      </c>
      <c r="F34" s="180">
        <f>+SUM(B29:B32)+B27</f>
        <v>6</v>
      </c>
      <c r="G34" s="179" t="s">
        <v>35</v>
      </c>
      <c r="H34" s="180">
        <f>+SUM(B27:B33)</f>
        <v>9</v>
      </c>
      <c r="J34" s="14"/>
      <c r="K34" s="14"/>
      <c r="L34" s="14"/>
    </row>
    <row r="35" spans="2:12" x14ac:dyDescent="0.3">
      <c r="B35" s="130"/>
      <c r="C35" s="130"/>
      <c r="D35" s="131"/>
      <c r="E35" s="132"/>
      <c r="F35" s="132"/>
      <c r="G35" s="132"/>
      <c r="H35" s="132"/>
    </row>
    <row r="36" spans="2:12" x14ac:dyDescent="0.3">
      <c r="B36" s="306" t="s">
        <v>131</v>
      </c>
      <c r="C36" s="307"/>
      <c r="D36" s="172" t="s">
        <v>44</v>
      </c>
      <c r="E36" s="308" t="s">
        <v>31</v>
      </c>
      <c r="F36" s="309"/>
      <c r="G36" s="308" t="s">
        <v>23</v>
      </c>
      <c r="H36" s="309"/>
    </row>
    <row r="37" spans="2:12" x14ac:dyDescent="0.3">
      <c r="B37" s="169" t="s">
        <v>128</v>
      </c>
      <c r="C37" s="170" t="s">
        <v>130</v>
      </c>
      <c r="D37" s="171" t="s">
        <v>133</v>
      </c>
      <c r="E37" s="173" t="s">
        <v>43</v>
      </c>
      <c r="F37" s="174" t="s">
        <v>38</v>
      </c>
      <c r="G37" s="173" t="s">
        <v>43</v>
      </c>
      <c r="H37" s="174" t="s">
        <v>38</v>
      </c>
    </row>
    <row r="38" spans="2:12" x14ac:dyDescent="0.3">
      <c r="B38" s="304">
        <v>18</v>
      </c>
      <c r="C38" s="126"/>
      <c r="D38" s="149" t="s">
        <v>260</v>
      </c>
      <c r="E38" s="152" t="s">
        <v>36</v>
      </c>
      <c r="F38" s="152" t="s">
        <v>127</v>
      </c>
      <c r="G38" s="152" t="s">
        <v>36</v>
      </c>
      <c r="H38" s="152" t="s">
        <v>127</v>
      </c>
    </row>
    <row r="39" spans="2:12" x14ac:dyDescent="0.3">
      <c r="B39" s="146">
        <v>3</v>
      </c>
      <c r="C39" s="126"/>
      <c r="D39" s="149" t="s">
        <v>163</v>
      </c>
      <c r="E39" s="152" t="s">
        <v>36</v>
      </c>
      <c r="F39" s="152" t="s">
        <v>127</v>
      </c>
      <c r="G39" s="152" t="s">
        <v>36</v>
      </c>
      <c r="H39" s="152" t="s">
        <v>127</v>
      </c>
    </row>
    <row r="40" spans="2:12" x14ac:dyDescent="0.3">
      <c r="B40" s="140"/>
      <c r="C40" s="140"/>
      <c r="D40" s="122"/>
      <c r="E40" s="179" t="s">
        <v>35</v>
      </c>
      <c r="F40" s="180">
        <f>+SUM(B38:B39)</f>
        <v>21</v>
      </c>
      <c r="G40" s="179" t="s">
        <v>35</v>
      </c>
      <c r="H40" s="180">
        <f>+F40</f>
        <v>21</v>
      </c>
    </row>
  </sheetData>
  <sortState xmlns:xlrd2="http://schemas.microsoft.com/office/spreadsheetml/2017/richdata2" ref="D3:H16">
    <sortCondition descending="1" ref="H15:H16"/>
  </sortState>
  <mergeCells count="12">
    <mergeCell ref="M4:S4"/>
    <mergeCell ref="M10:S10"/>
    <mergeCell ref="M17:S17"/>
    <mergeCell ref="B3:C3"/>
    <mergeCell ref="B25:C25"/>
    <mergeCell ref="B36:C36"/>
    <mergeCell ref="E36:F36"/>
    <mergeCell ref="G36:H36"/>
    <mergeCell ref="G3:H3"/>
    <mergeCell ref="E3:F3"/>
    <mergeCell ref="G25:H25"/>
    <mergeCell ref="E25:F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M94"/>
  <sheetViews>
    <sheetView topLeftCell="A13" zoomScale="80" zoomScaleNormal="80" workbookViewId="0">
      <selection activeCell="C42" sqref="C42:M42"/>
    </sheetView>
  </sheetViews>
  <sheetFormatPr defaultRowHeight="14.4" x14ac:dyDescent="0.3"/>
  <cols>
    <col min="1" max="1" width="3.6640625" customWidth="1"/>
    <col min="2" max="2" width="44" customWidth="1"/>
    <col min="3" max="8" width="7" customWidth="1"/>
    <col min="9" max="9" width="9.44140625" bestFit="1" customWidth="1"/>
    <col min="10" max="13" width="9.33203125" customWidth="1"/>
    <col min="14" max="14" width="4.88671875" customWidth="1"/>
    <col min="15" max="15" width="20.77734375" customWidth="1"/>
    <col min="16" max="24" width="4.88671875" customWidth="1"/>
    <col min="25" max="25" width="2.6640625" customWidth="1"/>
    <col min="26" max="26" width="7.33203125" customWidth="1"/>
    <col min="27" max="27" width="7.88671875" customWidth="1"/>
    <col min="28" max="28" width="9" customWidth="1"/>
    <col min="29" max="29" width="7" customWidth="1"/>
    <col min="30" max="30" width="7.88671875" customWidth="1"/>
    <col min="31" max="31" width="9" customWidth="1"/>
    <col min="32" max="32" width="7" customWidth="1"/>
    <col min="33" max="33" width="7.88671875" customWidth="1"/>
    <col min="34" max="34" width="9" customWidth="1"/>
    <col min="35" max="35" width="3.109375" customWidth="1"/>
    <col min="36" max="36" width="8.88671875" customWidth="1"/>
    <col min="37" max="38" width="9.109375" customWidth="1"/>
  </cols>
  <sheetData>
    <row r="2" spans="2:39" x14ac:dyDescent="0.3">
      <c r="B2" s="1"/>
      <c r="C2" s="1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39" x14ac:dyDescent="0.3">
      <c r="B3" s="18" t="s">
        <v>304</v>
      </c>
      <c r="C3" s="336" t="s">
        <v>3</v>
      </c>
      <c r="D3" s="336"/>
      <c r="E3" s="336"/>
      <c r="F3" s="336"/>
      <c r="G3" s="336"/>
      <c r="H3" s="336"/>
      <c r="I3" s="337"/>
      <c r="J3" s="335" t="s">
        <v>4</v>
      </c>
      <c r="K3" s="337"/>
      <c r="L3" s="335" t="s">
        <v>113</v>
      </c>
      <c r="M3" s="336"/>
      <c r="P3" s="332" t="s">
        <v>81</v>
      </c>
      <c r="Q3" s="333"/>
      <c r="R3" s="334"/>
      <c r="S3" s="332" t="s">
        <v>82</v>
      </c>
      <c r="T3" s="333"/>
      <c r="U3" s="334"/>
      <c r="V3" s="332" t="s">
        <v>92</v>
      </c>
      <c r="W3" s="333"/>
      <c r="X3" s="334"/>
      <c r="Z3" s="323" t="s">
        <v>3</v>
      </c>
      <c r="AA3" s="324"/>
      <c r="AB3" s="325"/>
      <c r="AC3" s="323" t="s">
        <v>4</v>
      </c>
      <c r="AD3" s="324"/>
      <c r="AE3" s="325"/>
      <c r="AF3" s="323" t="s">
        <v>113</v>
      </c>
      <c r="AG3" s="324"/>
      <c r="AH3" s="325"/>
      <c r="AJ3" s="326" t="s">
        <v>114</v>
      </c>
      <c r="AK3" s="327"/>
      <c r="AL3" s="328"/>
    </row>
    <row r="4" spans="2:39" x14ac:dyDescent="0.3">
      <c r="B4" s="87" t="s">
        <v>300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P4" s="183" t="s">
        <v>143</v>
      </c>
      <c r="Q4" s="120" t="s">
        <v>144</v>
      </c>
      <c r="R4" s="184" t="s">
        <v>16</v>
      </c>
      <c r="S4" s="183" t="s">
        <v>143</v>
      </c>
      <c r="T4" s="120" t="s">
        <v>144</v>
      </c>
      <c r="U4" s="184" t="s">
        <v>16</v>
      </c>
      <c r="V4" s="183" t="s">
        <v>143</v>
      </c>
      <c r="W4" s="120" t="s">
        <v>144</v>
      </c>
      <c r="X4" s="184" t="s">
        <v>16</v>
      </c>
      <c r="Y4" s="10"/>
      <c r="Z4" s="24" t="s">
        <v>13</v>
      </c>
      <c r="AA4" s="17" t="s">
        <v>28</v>
      </c>
      <c r="AB4" s="23" t="s">
        <v>29</v>
      </c>
      <c r="AC4" s="24" t="s">
        <v>13</v>
      </c>
      <c r="AD4" s="17" t="s">
        <v>28</v>
      </c>
      <c r="AE4" s="23" t="s">
        <v>29</v>
      </c>
      <c r="AF4" s="24" t="s">
        <v>13</v>
      </c>
      <c r="AG4" s="17" t="s">
        <v>28</v>
      </c>
      <c r="AH4" s="23" t="s">
        <v>29</v>
      </c>
      <c r="AJ4" s="24" t="s">
        <v>13</v>
      </c>
      <c r="AK4" s="17" t="s">
        <v>28</v>
      </c>
      <c r="AL4" s="23" t="s">
        <v>29</v>
      </c>
    </row>
    <row r="5" spans="2:39" x14ac:dyDescent="0.3">
      <c r="B5" s="133" t="s">
        <v>0</v>
      </c>
      <c r="C5" s="16">
        <v>3</v>
      </c>
      <c r="D5" s="16">
        <v>2</v>
      </c>
      <c r="E5" s="16">
        <v>2</v>
      </c>
      <c r="F5" s="16">
        <v>2</v>
      </c>
      <c r="G5" s="16">
        <v>2</v>
      </c>
      <c r="H5" s="16">
        <v>2</v>
      </c>
      <c r="I5" s="16">
        <v>6</v>
      </c>
      <c r="J5">
        <v>9</v>
      </c>
      <c r="K5">
        <v>9</v>
      </c>
      <c r="L5">
        <v>6</v>
      </c>
      <c r="M5">
        <v>6</v>
      </c>
      <c r="O5" t="str">
        <f>+B3</f>
        <v>Einst. án barns - Alþjóðleg vernd</v>
      </c>
      <c r="P5" s="181">
        <f>+SUM(C7:I7)</f>
        <v>33</v>
      </c>
      <c r="Q5" s="5">
        <f>+SUM(C11:I11)</f>
        <v>17</v>
      </c>
      <c r="R5" s="182">
        <f>+SUM(C10:I10)</f>
        <v>21</v>
      </c>
      <c r="S5" s="181">
        <f>+J7+K7</f>
        <v>27</v>
      </c>
      <c r="T5" s="5">
        <f>+J11+K11</f>
        <v>0</v>
      </c>
      <c r="U5" s="182">
        <f>+J10+K10</f>
        <v>0</v>
      </c>
      <c r="V5" s="181">
        <f>+L7+M7</f>
        <v>18</v>
      </c>
      <c r="W5" s="215">
        <f>+L11+M11</f>
        <v>0</v>
      </c>
      <c r="X5" s="216">
        <f>+L10+M10</f>
        <v>0</v>
      </c>
      <c r="Y5" s="10"/>
      <c r="Z5" s="63">
        <f>+SUM(C13:I13)</f>
        <v>71</v>
      </c>
      <c r="AA5" s="26">
        <f>+Z5/(VirkarVinnustPrMan*12)</f>
        <v>3.7927349843852737E-2</v>
      </c>
      <c r="AB5" s="27">
        <f>+Z5*LaunKlst</f>
        <v>485088.16368959995</v>
      </c>
      <c r="AC5" s="63">
        <f>+J13+K13</f>
        <v>27</v>
      </c>
      <c r="AD5" s="26">
        <f>+AC5/(VirkarVinnustPrMan*12)</f>
        <v>1.4423076701183434E-2</v>
      </c>
      <c r="AE5" s="27">
        <f>+AC5*LaunKlst</f>
        <v>184470.1467552</v>
      </c>
      <c r="AF5" s="99">
        <f>+L13+M13</f>
        <v>18</v>
      </c>
      <c r="AG5" s="26">
        <f>+AF5/(VirkarVinnustPrMan*12)</f>
        <v>9.6153844674556222E-3</v>
      </c>
      <c r="AH5" s="27">
        <f>+AF5*LaunKlst</f>
        <v>122980.09783679999</v>
      </c>
      <c r="AI5" s="1"/>
      <c r="AJ5" s="63">
        <f>+Z5+AC5+AF5</f>
        <v>116</v>
      </c>
      <c r="AK5" s="108">
        <f>+AA5+AD5+AG5</f>
        <v>6.1965811012491795E-2</v>
      </c>
      <c r="AL5" s="27">
        <f>+AB5+AE5+AH5</f>
        <v>792538.40828159999</v>
      </c>
    </row>
    <row r="6" spans="2:39" x14ac:dyDescent="0.3">
      <c r="B6" s="133" t="s">
        <v>137</v>
      </c>
      <c r="C6" s="83">
        <v>2</v>
      </c>
      <c r="D6" s="83">
        <v>2</v>
      </c>
      <c r="E6" s="83">
        <v>2</v>
      </c>
      <c r="F6" s="83">
        <v>2</v>
      </c>
      <c r="G6" s="83">
        <v>1.5</v>
      </c>
      <c r="H6" s="83">
        <v>1.5</v>
      </c>
      <c r="I6" s="83">
        <v>1.5</v>
      </c>
      <c r="J6" s="5">
        <v>1.5</v>
      </c>
      <c r="K6" s="5">
        <v>1.5</v>
      </c>
      <c r="L6" s="5">
        <v>1.5</v>
      </c>
      <c r="M6" s="5">
        <v>1.5</v>
      </c>
      <c r="O6" s="11"/>
      <c r="P6" s="11"/>
      <c r="Q6" s="11"/>
      <c r="Y6" s="10"/>
      <c r="Z6" s="104"/>
      <c r="AA6" s="106"/>
      <c r="AB6" s="107"/>
      <c r="AC6" s="104"/>
      <c r="AD6" s="106"/>
      <c r="AE6" s="107"/>
      <c r="AF6" s="104"/>
      <c r="AG6" s="106"/>
      <c r="AH6" s="107"/>
      <c r="AJ6" s="19"/>
      <c r="AK6" s="21"/>
      <c r="AL6" s="109"/>
      <c r="AM6" s="11"/>
    </row>
    <row r="7" spans="2:39" x14ac:dyDescent="0.3">
      <c r="B7" s="10" t="s">
        <v>301</v>
      </c>
      <c r="C7" s="16">
        <f t="shared" ref="C7:M7" si="0">+C5*C6</f>
        <v>6</v>
      </c>
      <c r="D7" s="16">
        <f t="shared" si="0"/>
        <v>4</v>
      </c>
      <c r="E7" s="16">
        <f t="shared" si="0"/>
        <v>4</v>
      </c>
      <c r="F7" s="16">
        <f t="shared" si="0"/>
        <v>4</v>
      </c>
      <c r="G7" s="16">
        <f t="shared" si="0"/>
        <v>3</v>
      </c>
      <c r="H7" s="16">
        <f t="shared" si="0"/>
        <v>3</v>
      </c>
      <c r="I7" s="16">
        <f t="shared" si="0"/>
        <v>9</v>
      </c>
      <c r="J7" s="16">
        <f t="shared" si="0"/>
        <v>13.5</v>
      </c>
      <c r="K7" s="16">
        <f t="shared" si="0"/>
        <v>13.5</v>
      </c>
      <c r="L7" s="16">
        <f t="shared" si="0"/>
        <v>9</v>
      </c>
      <c r="M7" s="16">
        <f t="shared" si="0"/>
        <v>9</v>
      </c>
      <c r="O7" s="11"/>
      <c r="P7" s="11"/>
      <c r="Q7" s="11"/>
      <c r="Y7" s="10"/>
      <c r="Z7" s="19"/>
      <c r="AA7" s="21"/>
      <c r="AB7" s="109"/>
      <c r="AC7" s="19"/>
      <c r="AD7" s="21"/>
      <c r="AE7" s="143"/>
      <c r="AF7" s="19"/>
      <c r="AG7" s="21"/>
      <c r="AH7" s="109"/>
      <c r="AJ7" s="19"/>
      <c r="AK7" s="21"/>
      <c r="AL7" s="109"/>
      <c r="AM7" s="11"/>
    </row>
    <row r="8" spans="2:39" x14ac:dyDescent="0.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O8" s="11"/>
      <c r="P8" s="11"/>
      <c r="Q8" s="11"/>
      <c r="R8" s="11"/>
      <c r="S8" s="11"/>
      <c r="T8" s="11"/>
      <c r="U8" s="11"/>
      <c r="Y8" s="10"/>
      <c r="Z8" s="88"/>
      <c r="AA8" s="21"/>
      <c r="AB8" s="109"/>
      <c r="AC8" s="135"/>
      <c r="AD8" s="21"/>
      <c r="AE8" s="109"/>
      <c r="AF8" s="19"/>
      <c r="AG8" s="109"/>
      <c r="AH8" s="109"/>
      <c r="AJ8" s="109"/>
      <c r="AK8" s="21"/>
      <c r="AL8" s="109"/>
      <c r="AM8" s="11"/>
    </row>
    <row r="9" spans="2:39" x14ac:dyDescent="0.3">
      <c r="B9" s="87" t="s">
        <v>138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O9" s="11"/>
      <c r="P9" s="11"/>
      <c r="Q9" s="11"/>
      <c r="Y9" s="10"/>
      <c r="Z9" s="88"/>
      <c r="AA9" s="21"/>
      <c r="AB9" s="109"/>
      <c r="AC9" s="135"/>
      <c r="AD9" s="21"/>
      <c r="AE9" s="109"/>
      <c r="AF9" s="19"/>
      <c r="AG9" s="109"/>
      <c r="AH9" s="109"/>
      <c r="AJ9" s="109"/>
      <c r="AK9" s="21"/>
      <c r="AL9" s="109"/>
      <c r="AM9" s="11"/>
    </row>
    <row r="10" spans="2:39" x14ac:dyDescent="0.3">
      <c r="B10" s="133" t="s">
        <v>139</v>
      </c>
      <c r="C10" s="16">
        <f>+'Sérstök umsýsla'!M7</f>
        <v>21</v>
      </c>
      <c r="D10" s="16"/>
      <c r="E10" s="16"/>
      <c r="F10" s="16"/>
      <c r="G10" s="16"/>
      <c r="H10" s="16"/>
      <c r="I10" s="16"/>
      <c r="O10" s="11"/>
      <c r="P10" s="11"/>
      <c r="Q10" s="11"/>
      <c r="Y10" s="11"/>
      <c r="Z10" s="134"/>
      <c r="AA10" s="1"/>
      <c r="AB10" s="1"/>
      <c r="AC10" s="7"/>
      <c r="AE10" s="109"/>
      <c r="AG10" s="109"/>
      <c r="AJ10" s="109"/>
    </row>
    <row r="11" spans="2:39" x14ac:dyDescent="0.3">
      <c r="B11" s="133" t="s">
        <v>140</v>
      </c>
      <c r="C11" s="5">
        <f>+'Sérstök umsýsla'!M6</f>
        <v>9</v>
      </c>
      <c r="D11" s="5">
        <f>+'Sérstök umsýsla'!N6</f>
        <v>3</v>
      </c>
      <c r="E11" s="5">
        <f>+'Sérstök umsýsla'!O6</f>
        <v>2</v>
      </c>
      <c r="F11" s="5">
        <f>+'Sérstök umsýsla'!P6</f>
        <v>1</v>
      </c>
      <c r="G11" s="5">
        <f>+'Sérstök umsýsla'!Q6</f>
        <v>1</v>
      </c>
      <c r="H11" s="5">
        <f>+'Sérstök umsýsla'!R6</f>
        <v>1</v>
      </c>
      <c r="I11" s="5">
        <f>+'Sérstök umsýsla'!S6</f>
        <v>0</v>
      </c>
      <c r="J11" s="5">
        <f>+'Sérstök umsýsla'!T6</f>
        <v>0</v>
      </c>
      <c r="K11" s="5">
        <f>+'Sérstök umsýsla'!U6</f>
        <v>0</v>
      </c>
      <c r="L11" s="5">
        <f>+'Sérstök umsýsla'!V6</f>
        <v>0</v>
      </c>
      <c r="M11" s="5">
        <f>+'Sérstök umsýsla'!W6</f>
        <v>0</v>
      </c>
      <c r="Z11" s="88"/>
      <c r="AA11" s="1"/>
      <c r="AB11" s="1"/>
      <c r="AC11" s="7"/>
      <c r="AE11" s="109"/>
      <c r="AG11" s="109"/>
      <c r="AJ11" s="109"/>
    </row>
    <row r="12" spans="2:39" x14ac:dyDescent="0.3">
      <c r="B12" s="10" t="s">
        <v>142</v>
      </c>
      <c r="C12" s="16">
        <f t="shared" ref="C12:M12" si="1">SUM(C10:C11)</f>
        <v>30</v>
      </c>
      <c r="D12" s="16">
        <f t="shared" si="1"/>
        <v>3</v>
      </c>
      <c r="E12" s="16">
        <f t="shared" si="1"/>
        <v>2</v>
      </c>
      <c r="F12" s="16">
        <f t="shared" si="1"/>
        <v>1</v>
      </c>
      <c r="G12" s="16">
        <f t="shared" si="1"/>
        <v>1</v>
      </c>
      <c r="H12" s="16">
        <f t="shared" si="1"/>
        <v>1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</row>
    <row r="13" spans="2:39" x14ac:dyDescent="0.3">
      <c r="B13" s="89" t="s">
        <v>27</v>
      </c>
      <c r="C13" s="89">
        <f t="shared" ref="C13:M13" si="2">+C7+C12</f>
        <v>36</v>
      </c>
      <c r="D13" s="89">
        <f t="shared" si="2"/>
        <v>7</v>
      </c>
      <c r="E13" s="89">
        <f t="shared" si="2"/>
        <v>6</v>
      </c>
      <c r="F13" s="89">
        <f t="shared" si="2"/>
        <v>5</v>
      </c>
      <c r="G13" s="89">
        <f t="shared" si="2"/>
        <v>4</v>
      </c>
      <c r="H13" s="89">
        <f t="shared" si="2"/>
        <v>4</v>
      </c>
      <c r="I13" s="89">
        <f t="shared" si="2"/>
        <v>9</v>
      </c>
      <c r="J13" s="89">
        <f t="shared" si="2"/>
        <v>13.5</v>
      </c>
      <c r="K13" s="89">
        <f t="shared" si="2"/>
        <v>13.5</v>
      </c>
      <c r="L13" s="89">
        <f t="shared" si="2"/>
        <v>9</v>
      </c>
      <c r="M13" s="89">
        <f t="shared" si="2"/>
        <v>9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2:39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2:39" x14ac:dyDescent="0.3">
      <c r="B15" s="18" t="s">
        <v>86</v>
      </c>
      <c r="C15" s="336" t="s">
        <v>3</v>
      </c>
      <c r="D15" s="336"/>
      <c r="E15" s="336"/>
      <c r="F15" s="336"/>
      <c r="G15" s="336"/>
      <c r="H15" s="336"/>
      <c r="I15" s="337"/>
      <c r="J15" s="335" t="s">
        <v>4</v>
      </c>
      <c r="K15" s="337"/>
      <c r="L15" s="335" t="s">
        <v>113</v>
      </c>
      <c r="M15" s="336"/>
      <c r="P15" s="332" t="s">
        <v>81</v>
      </c>
      <c r="Q15" s="333"/>
      <c r="R15" s="334"/>
      <c r="S15" s="332" t="s">
        <v>82</v>
      </c>
      <c r="T15" s="333"/>
      <c r="U15" s="334"/>
      <c r="V15" s="332" t="s">
        <v>92</v>
      </c>
      <c r="W15" s="333"/>
      <c r="X15" s="334"/>
      <c r="Y15" s="11"/>
      <c r="Z15" s="323" t="s">
        <v>3</v>
      </c>
      <c r="AA15" s="324"/>
      <c r="AB15" s="325"/>
      <c r="AC15" s="323" t="s">
        <v>4</v>
      </c>
      <c r="AD15" s="324"/>
      <c r="AE15" s="325"/>
      <c r="AF15" s="323" t="s">
        <v>113</v>
      </c>
      <c r="AG15" s="324"/>
      <c r="AH15" s="325"/>
      <c r="AJ15" s="326" t="s">
        <v>114</v>
      </c>
      <c r="AK15" s="327"/>
      <c r="AL15" s="328"/>
      <c r="AM15" s="11"/>
    </row>
    <row r="16" spans="2:39" x14ac:dyDescent="0.3">
      <c r="B16" s="87" t="s">
        <v>300</v>
      </c>
      <c r="C16" s="17" t="s">
        <v>5</v>
      </c>
      <c r="D16" s="17" t="s">
        <v>6</v>
      </c>
      <c r="E16" s="17" t="s">
        <v>7</v>
      </c>
      <c r="F16" s="17" t="s">
        <v>8</v>
      </c>
      <c r="G16" s="17" t="s">
        <v>9</v>
      </c>
      <c r="H16" s="17" t="s">
        <v>10</v>
      </c>
      <c r="I16" s="4" t="s">
        <v>12</v>
      </c>
      <c r="J16" s="4" t="s">
        <v>11</v>
      </c>
      <c r="K16" s="4" t="s">
        <v>12</v>
      </c>
      <c r="L16" s="4" t="s">
        <v>11</v>
      </c>
      <c r="M16" s="4" t="s">
        <v>12</v>
      </c>
      <c r="P16" s="183" t="s">
        <v>143</v>
      </c>
      <c r="Q16" s="120" t="s">
        <v>144</v>
      </c>
      <c r="R16" s="184" t="s">
        <v>16</v>
      </c>
      <c r="S16" s="183" t="s">
        <v>143</v>
      </c>
      <c r="T16" s="120" t="s">
        <v>144</v>
      </c>
      <c r="U16" s="184" t="s">
        <v>16</v>
      </c>
      <c r="V16" s="183" t="s">
        <v>143</v>
      </c>
      <c r="W16" s="120" t="s">
        <v>144</v>
      </c>
      <c r="X16" s="184" t="s">
        <v>16</v>
      </c>
      <c r="Y16" s="10"/>
      <c r="Z16" s="24" t="s">
        <v>13</v>
      </c>
      <c r="AA16" s="17" t="s">
        <v>28</v>
      </c>
      <c r="AB16" s="23" t="s">
        <v>29</v>
      </c>
      <c r="AC16" s="24" t="s">
        <v>13</v>
      </c>
      <c r="AD16" s="17" t="s">
        <v>28</v>
      </c>
      <c r="AE16" s="23" t="s">
        <v>29</v>
      </c>
      <c r="AF16" s="24" t="s">
        <v>13</v>
      </c>
      <c r="AG16" s="17" t="s">
        <v>28</v>
      </c>
      <c r="AH16" s="23" t="s">
        <v>29</v>
      </c>
      <c r="AJ16" s="24" t="s">
        <v>13</v>
      </c>
      <c r="AK16" s="17" t="s">
        <v>28</v>
      </c>
      <c r="AL16" s="23" t="s">
        <v>29</v>
      </c>
      <c r="AM16" s="11"/>
    </row>
    <row r="17" spans="2:39" x14ac:dyDescent="0.3">
      <c r="B17" s="133" t="s">
        <v>0</v>
      </c>
      <c r="C17" s="16">
        <v>3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6</v>
      </c>
      <c r="J17">
        <v>11</v>
      </c>
      <c r="K17">
        <v>10</v>
      </c>
      <c r="L17">
        <v>6</v>
      </c>
      <c r="M17">
        <v>6</v>
      </c>
      <c r="O17" t="str">
        <f>+B15</f>
        <v>Hjón án barns - Alþjóðleg vernd</v>
      </c>
      <c r="P17" s="181">
        <f>+SUM(C19:I19)</f>
        <v>41.499999000000003</v>
      </c>
      <c r="Q17" s="5">
        <f>+SUM(C23:I23)</f>
        <v>17</v>
      </c>
      <c r="R17" s="182">
        <f>+SUM(C22:I22)</f>
        <v>21</v>
      </c>
      <c r="S17" s="181">
        <f>+J19+K19</f>
        <v>31.5</v>
      </c>
      <c r="T17" s="5">
        <f>+J23+K23</f>
        <v>0</v>
      </c>
      <c r="U17" s="182">
        <f>+J22+K22</f>
        <v>0</v>
      </c>
      <c r="V17" s="181">
        <f>+L19+M19</f>
        <v>18</v>
      </c>
      <c r="W17" s="215">
        <f>+L23+M23</f>
        <v>0</v>
      </c>
      <c r="X17" s="216">
        <f>+L22+M22</f>
        <v>0</v>
      </c>
      <c r="Y17" s="10"/>
      <c r="Z17" s="103">
        <f>+SUM(C25:I25)</f>
        <v>79.499999000000003</v>
      </c>
      <c r="AA17" s="26">
        <f>+Z17/(VirkarVinnustPrMan*12)</f>
        <v>4.246794753040764E-2</v>
      </c>
      <c r="AB17" s="27">
        <f>+Z17*LaunKlst</f>
        <v>543162.0919469723</v>
      </c>
      <c r="AC17" s="103">
        <f>+J25+K25</f>
        <v>31.5</v>
      </c>
      <c r="AD17" s="26">
        <f>+AC17/(VirkarVinnustPrMan*12)</f>
        <v>1.6826922818047339E-2</v>
      </c>
      <c r="AE17" s="27">
        <f>+AC17*LaunKlst</f>
        <v>215215.17121439998</v>
      </c>
      <c r="AF17" s="103">
        <f>+L25+M25</f>
        <v>18</v>
      </c>
      <c r="AG17" s="26">
        <f>+AF17/(VirkarVinnustPrMan*12)</f>
        <v>9.6153844674556222E-3</v>
      </c>
      <c r="AH17" s="27">
        <f>+AF17*LaunKlst</f>
        <v>122980.09783679999</v>
      </c>
      <c r="AI17" s="1"/>
      <c r="AJ17" s="103">
        <f>+Z17+AC17+AF17</f>
        <v>128.999999</v>
      </c>
      <c r="AK17" s="108">
        <f>+AA17+AD17+AG17</f>
        <v>6.8910254815910607E-2</v>
      </c>
      <c r="AL17" s="27">
        <f>+AB17+AE17+AH17</f>
        <v>881357.36099817231</v>
      </c>
      <c r="AM17" s="11"/>
    </row>
    <row r="18" spans="2:39" x14ac:dyDescent="0.3">
      <c r="B18" s="133" t="s">
        <v>137</v>
      </c>
      <c r="C18" s="83">
        <v>2</v>
      </c>
      <c r="D18" s="83">
        <v>2</v>
      </c>
      <c r="E18" s="83">
        <v>2</v>
      </c>
      <c r="F18" s="83">
        <v>1.8333330000000001</v>
      </c>
      <c r="G18" s="83">
        <v>1.5</v>
      </c>
      <c r="H18" s="83">
        <v>1.5</v>
      </c>
      <c r="I18" s="83">
        <v>1.5</v>
      </c>
      <c r="J18" s="5">
        <v>1.5</v>
      </c>
      <c r="K18" s="5">
        <v>1.5</v>
      </c>
      <c r="L18" s="5">
        <v>1.5</v>
      </c>
      <c r="M18" s="5">
        <v>1.5</v>
      </c>
      <c r="Y18" s="10"/>
      <c r="Z18" s="19"/>
      <c r="AA18" s="21"/>
      <c r="AB18" s="109"/>
      <c r="AC18" s="19"/>
      <c r="AD18" s="21"/>
      <c r="AE18" s="109"/>
      <c r="AF18" s="19"/>
      <c r="AG18" s="21"/>
      <c r="AH18" s="109"/>
      <c r="AI18" s="11"/>
      <c r="AJ18" s="19"/>
      <c r="AK18" s="21"/>
      <c r="AL18" s="109"/>
      <c r="AM18" s="11"/>
    </row>
    <row r="19" spans="2:39" x14ac:dyDescent="0.3">
      <c r="B19" s="10" t="s">
        <v>301</v>
      </c>
      <c r="C19" s="16">
        <f t="shared" ref="C19" si="3">+C17*C18</f>
        <v>6</v>
      </c>
      <c r="D19" s="16">
        <f t="shared" ref="D19" si="4">+D17*D18</f>
        <v>6</v>
      </c>
      <c r="E19" s="16">
        <f t="shared" ref="E19" si="5">+E17*E18</f>
        <v>6</v>
      </c>
      <c r="F19" s="16">
        <f t="shared" ref="F19" si="6">+F17*F18</f>
        <v>5.4999990000000007</v>
      </c>
      <c r="G19" s="16">
        <f t="shared" ref="G19" si="7">+G17*G18</f>
        <v>4.5</v>
      </c>
      <c r="H19" s="16">
        <f t="shared" ref="H19" si="8">+H17*H18</f>
        <v>4.5</v>
      </c>
      <c r="I19" s="16">
        <f t="shared" ref="I19" si="9">+I17*I18</f>
        <v>9</v>
      </c>
      <c r="J19" s="16">
        <f t="shared" ref="J19" si="10">+J17*J18</f>
        <v>16.5</v>
      </c>
      <c r="K19" s="16">
        <f t="shared" ref="K19" si="11">+K17*K18</f>
        <v>15</v>
      </c>
      <c r="L19" s="16">
        <f t="shared" ref="L19" si="12">+L17*L18</f>
        <v>9</v>
      </c>
      <c r="M19" s="16">
        <f t="shared" ref="M19" si="13">+M17*M18</f>
        <v>9</v>
      </c>
      <c r="O19" s="11"/>
      <c r="P19" s="11"/>
      <c r="Q19" s="11"/>
      <c r="R19" s="11"/>
      <c r="Y19" s="11"/>
      <c r="Z19" s="100"/>
      <c r="AA19" s="111"/>
      <c r="AB19" s="112"/>
      <c r="AC19" s="100"/>
      <c r="AD19" s="111"/>
      <c r="AE19" s="112"/>
      <c r="AF19" s="100"/>
      <c r="AG19" s="111"/>
      <c r="AH19" s="112"/>
      <c r="AI19" s="8"/>
      <c r="AJ19" s="100"/>
      <c r="AK19" s="111"/>
      <c r="AL19" s="112"/>
      <c r="AM19" s="11"/>
    </row>
    <row r="20" spans="2:39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O20" s="232"/>
      <c r="P20" s="11"/>
      <c r="Q20" s="11"/>
      <c r="R20" s="11"/>
      <c r="S20" s="11"/>
      <c r="T20" s="11"/>
      <c r="U20" s="11"/>
      <c r="V20" s="11"/>
      <c r="Y20" s="11"/>
      <c r="Z20" s="88"/>
      <c r="AA20" s="21"/>
      <c r="AB20" s="109"/>
      <c r="AC20" s="135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2:39" x14ac:dyDescent="0.3">
      <c r="B21" s="87" t="s">
        <v>138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Y21" s="11"/>
      <c r="Z21" s="88"/>
      <c r="AA21" s="21"/>
      <c r="AB21" s="109"/>
      <c r="AC21" s="135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2:39" x14ac:dyDescent="0.3">
      <c r="B22" s="133" t="s">
        <v>139</v>
      </c>
      <c r="C22" s="16">
        <f>+'Sérstök umsýsla'!M7</f>
        <v>21</v>
      </c>
      <c r="D22" s="16"/>
      <c r="E22" s="16"/>
      <c r="F22" s="16"/>
      <c r="G22" s="16"/>
      <c r="H22" s="16"/>
      <c r="I22" s="16"/>
      <c r="Y22" s="80"/>
      <c r="Z22" s="134"/>
      <c r="AA22" s="1"/>
      <c r="AB22" s="1"/>
      <c r="AC22" s="7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2:39" x14ac:dyDescent="0.3">
      <c r="B23" s="133" t="s">
        <v>140</v>
      </c>
      <c r="C23" s="5">
        <f>+'Sérstök umsýsla'!M6</f>
        <v>9</v>
      </c>
      <c r="D23" s="5">
        <f>+'Sérstök umsýsla'!N6</f>
        <v>3</v>
      </c>
      <c r="E23" s="5">
        <f>+'Sérstök umsýsla'!O6</f>
        <v>2</v>
      </c>
      <c r="F23" s="5">
        <f>+'Sérstök umsýsla'!P6</f>
        <v>1</v>
      </c>
      <c r="G23" s="5">
        <f>+'Sérstök umsýsla'!Q6</f>
        <v>1</v>
      </c>
      <c r="H23" s="5">
        <f>+'Sérstök umsýsla'!R6</f>
        <v>1</v>
      </c>
      <c r="I23" s="5">
        <f>+'Sérstök umsýsla'!S6</f>
        <v>0</v>
      </c>
      <c r="J23" s="5">
        <f>+'Sérstök umsýsla'!T6</f>
        <v>0</v>
      </c>
      <c r="K23" s="5">
        <f>+'Sérstök umsýsla'!U6</f>
        <v>0</v>
      </c>
      <c r="L23" s="5">
        <f>+'Sérstök umsýsla'!V6</f>
        <v>0</v>
      </c>
      <c r="M23" s="5">
        <f>+'Sérstök umsýsla'!W6</f>
        <v>0</v>
      </c>
      <c r="Y23" s="11"/>
      <c r="Z23" s="88"/>
      <c r="AA23" s="1"/>
      <c r="AB23" s="1"/>
      <c r="AC23" s="7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2:39" x14ac:dyDescent="0.3">
      <c r="B24" s="10" t="s">
        <v>142</v>
      </c>
      <c r="C24" s="16">
        <f t="shared" ref="C24:M24" si="14">SUM(C22:C23)</f>
        <v>30</v>
      </c>
      <c r="D24" s="16">
        <f t="shared" si="14"/>
        <v>3</v>
      </c>
      <c r="E24" s="16">
        <f t="shared" si="14"/>
        <v>2</v>
      </c>
      <c r="F24" s="16">
        <f t="shared" si="14"/>
        <v>1</v>
      </c>
      <c r="G24" s="16">
        <f t="shared" si="14"/>
        <v>1</v>
      </c>
      <c r="H24" s="16">
        <f t="shared" si="14"/>
        <v>1</v>
      </c>
      <c r="I24" s="16">
        <f t="shared" si="14"/>
        <v>0</v>
      </c>
      <c r="J24" s="16">
        <f t="shared" si="14"/>
        <v>0</v>
      </c>
      <c r="K24" s="16">
        <f t="shared" si="14"/>
        <v>0</v>
      </c>
      <c r="L24" s="16">
        <f t="shared" si="14"/>
        <v>0</v>
      </c>
      <c r="M24" s="16">
        <f t="shared" si="14"/>
        <v>0</v>
      </c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2:39" x14ac:dyDescent="0.3">
      <c r="B25" s="89" t="s">
        <v>27</v>
      </c>
      <c r="C25" s="89">
        <f t="shared" ref="C25:M25" si="15">+C19+C24</f>
        <v>36</v>
      </c>
      <c r="D25" s="89">
        <f t="shared" si="15"/>
        <v>9</v>
      </c>
      <c r="E25" s="89">
        <f t="shared" si="15"/>
        <v>8</v>
      </c>
      <c r="F25" s="89">
        <f t="shared" si="15"/>
        <v>6.4999990000000007</v>
      </c>
      <c r="G25" s="89">
        <f t="shared" si="15"/>
        <v>5.5</v>
      </c>
      <c r="H25" s="89">
        <f t="shared" si="15"/>
        <v>5.5</v>
      </c>
      <c r="I25" s="89">
        <f t="shared" si="15"/>
        <v>9</v>
      </c>
      <c r="J25" s="89">
        <f t="shared" si="15"/>
        <v>16.5</v>
      </c>
      <c r="K25" s="89">
        <f t="shared" si="15"/>
        <v>15</v>
      </c>
      <c r="L25" s="89">
        <f t="shared" si="15"/>
        <v>9</v>
      </c>
      <c r="M25" s="89">
        <f t="shared" si="15"/>
        <v>9</v>
      </c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2:39" x14ac:dyDescent="0.3">
      <c r="B26" s="16"/>
      <c r="C26" s="16"/>
      <c r="D26" s="16"/>
      <c r="E26" s="16"/>
      <c r="F26" s="16"/>
      <c r="G26" s="16"/>
      <c r="H26" s="16"/>
      <c r="I26" s="16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2:39" x14ac:dyDescent="0.3">
      <c r="B27" s="18" t="s">
        <v>297</v>
      </c>
      <c r="C27" s="336" t="s">
        <v>3</v>
      </c>
      <c r="D27" s="336"/>
      <c r="E27" s="336"/>
      <c r="F27" s="336"/>
      <c r="G27" s="336"/>
      <c r="H27" s="336"/>
      <c r="I27" s="337"/>
      <c r="J27" s="335" t="s">
        <v>4</v>
      </c>
      <c r="K27" s="337"/>
      <c r="L27" s="335" t="s">
        <v>113</v>
      </c>
      <c r="M27" s="336"/>
      <c r="P27" s="332" t="s">
        <v>81</v>
      </c>
      <c r="Q27" s="333"/>
      <c r="R27" s="334"/>
      <c r="S27" s="332" t="s">
        <v>82</v>
      </c>
      <c r="T27" s="333"/>
      <c r="U27" s="334"/>
      <c r="V27" s="332" t="s">
        <v>92</v>
      </c>
      <c r="W27" s="333"/>
      <c r="X27" s="334"/>
      <c r="Y27" s="11"/>
      <c r="Z27" s="323" t="s">
        <v>3</v>
      </c>
      <c r="AA27" s="324"/>
      <c r="AB27" s="325"/>
      <c r="AC27" s="323" t="s">
        <v>4</v>
      </c>
      <c r="AD27" s="324"/>
      <c r="AE27" s="325"/>
      <c r="AF27" s="323" t="s">
        <v>113</v>
      </c>
      <c r="AG27" s="324"/>
      <c r="AH27" s="325"/>
      <c r="AJ27" s="326" t="s">
        <v>114</v>
      </c>
      <c r="AK27" s="327"/>
      <c r="AL27" s="328"/>
      <c r="AM27" s="11"/>
    </row>
    <row r="28" spans="2:39" x14ac:dyDescent="0.3">
      <c r="B28" s="87" t="s">
        <v>300</v>
      </c>
      <c r="C28" s="17" t="s">
        <v>5</v>
      </c>
      <c r="D28" s="17" t="s">
        <v>6</v>
      </c>
      <c r="E28" s="17" t="s">
        <v>7</v>
      </c>
      <c r="F28" s="17" t="s">
        <v>8</v>
      </c>
      <c r="G28" s="17" t="s">
        <v>9</v>
      </c>
      <c r="H28" s="17" t="s">
        <v>10</v>
      </c>
      <c r="I28" s="4" t="s">
        <v>12</v>
      </c>
      <c r="J28" s="4" t="s">
        <v>11</v>
      </c>
      <c r="K28" s="4" t="s">
        <v>12</v>
      </c>
      <c r="L28" s="4" t="s">
        <v>11</v>
      </c>
      <c r="M28" s="4" t="s">
        <v>12</v>
      </c>
      <c r="P28" s="183" t="s">
        <v>143</v>
      </c>
      <c r="Q28" s="120" t="s">
        <v>144</v>
      </c>
      <c r="R28" s="184" t="s">
        <v>16</v>
      </c>
      <c r="S28" s="183" t="s">
        <v>143</v>
      </c>
      <c r="T28" s="120" t="s">
        <v>144</v>
      </c>
      <c r="U28" s="184" t="s">
        <v>16</v>
      </c>
      <c r="V28" s="183" t="s">
        <v>143</v>
      </c>
      <c r="W28" s="120" t="s">
        <v>144</v>
      </c>
      <c r="X28" s="184" t="s">
        <v>16</v>
      </c>
      <c r="Y28" s="11"/>
      <c r="Z28" s="24" t="s">
        <v>13</v>
      </c>
      <c r="AA28" s="17" t="s">
        <v>28</v>
      </c>
      <c r="AB28" s="23" t="s">
        <v>29</v>
      </c>
      <c r="AC28" s="24" t="s">
        <v>13</v>
      </c>
      <c r="AD28" s="17" t="s">
        <v>28</v>
      </c>
      <c r="AE28" s="23" t="s">
        <v>29</v>
      </c>
      <c r="AF28" s="24" t="s">
        <v>13</v>
      </c>
      <c r="AG28" s="17" t="s">
        <v>28</v>
      </c>
      <c r="AH28" s="23" t="s">
        <v>29</v>
      </c>
      <c r="AJ28" s="24" t="s">
        <v>13</v>
      </c>
      <c r="AK28" s="17" t="s">
        <v>28</v>
      </c>
      <c r="AL28" s="23" t="s">
        <v>29</v>
      </c>
      <c r="AM28" s="11"/>
    </row>
    <row r="29" spans="2:39" x14ac:dyDescent="0.3">
      <c r="B29" s="133" t="s">
        <v>0</v>
      </c>
      <c r="C29" s="16">
        <v>0</v>
      </c>
      <c r="D29" s="16">
        <v>1</v>
      </c>
      <c r="E29" s="16">
        <v>0</v>
      </c>
      <c r="F29" s="16">
        <v>0</v>
      </c>
      <c r="G29" s="16">
        <v>0</v>
      </c>
      <c r="H29" s="16">
        <v>1</v>
      </c>
      <c r="I29" s="16">
        <v>0</v>
      </c>
      <c r="J29">
        <v>2</v>
      </c>
      <c r="K29">
        <v>1</v>
      </c>
      <c r="L29">
        <v>0</v>
      </c>
      <c r="M29">
        <v>1</v>
      </c>
      <c r="O29" t="str">
        <f>+B27</f>
        <v>Pr. barn - Alþjóðleg vernd</v>
      </c>
      <c r="P29" s="181">
        <f>+SUM(C31:I31)</f>
        <v>3</v>
      </c>
      <c r="Q29" s="5">
        <f>+SUM(C34:I34)</f>
        <v>6</v>
      </c>
      <c r="R29" s="182">
        <v>0</v>
      </c>
      <c r="S29" s="181">
        <f>+J31+K31</f>
        <v>3</v>
      </c>
      <c r="T29" s="5">
        <f>+J34+K34</f>
        <v>0</v>
      </c>
      <c r="U29" s="182">
        <f>+J34+K34</f>
        <v>0</v>
      </c>
      <c r="V29" s="181">
        <f>+L31+M31</f>
        <v>1</v>
      </c>
      <c r="W29" s="215">
        <f>+L34+M34</f>
        <v>0</v>
      </c>
      <c r="X29" s="216">
        <v>0</v>
      </c>
      <c r="Y29" s="11"/>
      <c r="Z29" s="213">
        <f>+SUM(C36:I36)</f>
        <v>9</v>
      </c>
      <c r="AA29" s="26">
        <f>+Z29/(VirkarVinnustPrMan*12)</f>
        <v>4.8076922337278111E-3</v>
      </c>
      <c r="AB29" s="27">
        <f>+Z29*LaunKlst</f>
        <v>61490.048918399996</v>
      </c>
      <c r="AC29" s="213">
        <f>+J36+K36</f>
        <v>3</v>
      </c>
      <c r="AD29" s="26">
        <f>+AC29/(VirkarVinnustPrMan*12)</f>
        <v>1.6025640779092705E-3</v>
      </c>
      <c r="AE29" s="27">
        <f>+AC29*LaunKlst</f>
        <v>20496.682972799998</v>
      </c>
      <c r="AF29" s="213">
        <f>+L36+M36</f>
        <v>1</v>
      </c>
      <c r="AG29" s="26">
        <f>+AF29/(VirkarVinnustPrMan*12)</f>
        <v>5.3418802596975684E-4</v>
      </c>
      <c r="AH29" s="27">
        <f>+AF29*LaunKlst</f>
        <v>6832.2276575999995</v>
      </c>
      <c r="AI29" s="1"/>
      <c r="AJ29" s="213">
        <f>+Z29+AC29+AF29</f>
        <v>13</v>
      </c>
      <c r="AK29" s="108">
        <f>+AA29+AD29+AG29</f>
        <v>6.9444443376068393E-3</v>
      </c>
      <c r="AL29" s="27">
        <f>+AB29+AE29+AH29</f>
        <v>88818.95954879999</v>
      </c>
      <c r="AM29" s="11"/>
    </row>
    <row r="30" spans="2:39" x14ac:dyDescent="0.3">
      <c r="B30" s="133" t="s">
        <v>137</v>
      </c>
      <c r="C30" s="83">
        <v>1.5</v>
      </c>
      <c r="D30" s="83">
        <v>1.5</v>
      </c>
      <c r="E30" s="83">
        <v>1.5</v>
      </c>
      <c r="F30" s="83">
        <v>1.5</v>
      </c>
      <c r="G30" s="83">
        <v>1.5</v>
      </c>
      <c r="H30" s="83">
        <v>1.5</v>
      </c>
      <c r="I30" s="83">
        <v>1</v>
      </c>
      <c r="J30" s="5">
        <v>1</v>
      </c>
      <c r="K30" s="5">
        <v>1</v>
      </c>
      <c r="L30" s="5">
        <v>1</v>
      </c>
      <c r="M30" s="5">
        <v>1</v>
      </c>
      <c r="O30" s="11"/>
      <c r="P30" s="11"/>
      <c r="Q30" s="11"/>
      <c r="R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2:39" x14ac:dyDescent="0.3">
      <c r="B31" s="10" t="s">
        <v>301</v>
      </c>
      <c r="C31" s="16">
        <f t="shared" ref="C31:M31" si="16">+C29*C30</f>
        <v>0</v>
      </c>
      <c r="D31" s="16">
        <f t="shared" si="16"/>
        <v>1.5</v>
      </c>
      <c r="E31" s="16">
        <f t="shared" si="16"/>
        <v>0</v>
      </c>
      <c r="F31" s="16">
        <f t="shared" si="16"/>
        <v>0</v>
      </c>
      <c r="G31" s="16">
        <f t="shared" si="16"/>
        <v>0</v>
      </c>
      <c r="H31" s="16">
        <f t="shared" si="16"/>
        <v>1.5</v>
      </c>
      <c r="I31" s="16">
        <f t="shared" si="16"/>
        <v>0</v>
      </c>
      <c r="J31" s="16">
        <f t="shared" si="16"/>
        <v>2</v>
      </c>
      <c r="K31" s="16">
        <f t="shared" si="16"/>
        <v>1</v>
      </c>
      <c r="L31" s="16">
        <f t="shared" si="16"/>
        <v>0</v>
      </c>
      <c r="M31" s="16">
        <f t="shared" si="16"/>
        <v>1</v>
      </c>
      <c r="O31" s="11"/>
      <c r="P31" s="11"/>
      <c r="Q31" s="11"/>
      <c r="R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2:39" x14ac:dyDescent="0.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O32" s="11"/>
      <c r="P32" s="11"/>
      <c r="Q32" s="11"/>
      <c r="R32" s="11"/>
      <c r="S32" s="11"/>
      <c r="T32" s="11"/>
      <c r="U32" s="11"/>
      <c r="V32" s="11"/>
      <c r="Y32" s="11"/>
      <c r="Z32" s="88"/>
      <c r="AA32" s="21"/>
      <c r="AB32" s="109"/>
      <c r="AC32" s="135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2:39" x14ac:dyDescent="0.3">
      <c r="B33" s="87" t="s">
        <v>138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O33" s="11"/>
      <c r="P33" s="11"/>
      <c r="Q33" s="11"/>
      <c r="R33" s="11"/>
      <c r="Y33" s="11"/>
      <c r="Z33" s="88"/>
      <c r="AA33" s="21"/>
      <c r="AB33" s="109"/>
      <c r="AC33" s="135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2:39" x14ac:dyDescent="0.3">
      <c r="B34" s="133" t="s">
        <v>141</v>
      </c>
      <c r="C34" s="5">
        <f>+'Sérstök umsýsla'!M12</f>
        <v>1</v>
      </c>
      <c r="D34" s="5">
        <f>+'Sérstök umsýsla'!N12</f>
        <v>1</v>
      </c>
      <c r="E34" s="5">
        <f>+'Sérstök umsýsla'!O12</f>
        <v>1</v>
      </c>
      <c r="F34" s="5">
        <f>+'Sérstök umsýsla'!P12</f>
        <v>1</v>
      </c>
      <c r="G34" s="5">
        <f>+'Sérstök umsýsla'!Q12</f>
        <v>1</v>
      </c>
      <c r="H34" s="5">
        <f>+'Sérstök umsýsla'!R12</f>
        <v>1</v>
      </c>
      <c r="I34" s="83"/>
      <c r="J34" s="5"/>
      <c r="K34" s="5"/>
      <c r="L34" s="5"/>
      <c r="M34" s="5"/>
      <c r="Y34" s="11"/>
      <c r="Z34" s="1"/>
      <c r="AA34" s="1"/>
      <c r="AB34" s="1"/>
      <c r="AC34" s="136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2:39" x14ac:dyDescent="0.3">
      <c r="B35" s="10" t="s">
        <v>142</v>
      </c>
      <c r="C35" s="16">
        <f t="shared" ref="C35:M35" si="17">SUM(C34:C34)</f>
        <v>1</v>
      </c>
      <c r="D35" s="16">
        <f t="shared" si="17"/>
        <v>1</v>
      </c>
      <c r="E35" s="16">
        <f t="shared" si="17"/>
        <v>1</v>
      </c>
      <c r="F35" s="16">
        <f t="shared" si="17"/>
        <v>1</v>
      </c>
      <c r="G35" s="16">
        <f t="shared" si="17"/>
        <v>1</v>
      </c>
      <c r="H35" s="16">
        <f t="shared" si="17"/>
        <v>1</v>
      </c>
      <c r="I35" s="16">
        <f t="shared" si="17"/>
        <v>0</v>
      </c>
      <c r="J35" s="16">
        <f t="shared" si="17"/>
        <v>0</v>
      </c>
      <c r="K35" s="16">
        <f t="shared" si="17"/>
        <v>0</v>
      </c>
      <c r="L35" s="16">
        <f t="shared" si="17"/>
        <v>0</v>
      </c>
      <c r="M35" s="16">
        <f t="shared" si="17"/>
        <v>0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2:39" x14ac:dyDescent="0.3">
      <c r="B36" s="89" t="s">
        <v>27</v>
      </c>
      <c r="C36" s="89">
        <f t="shared" ref="C36:M36" si="18">+C31+C35</f>
        <v>1</v>
      </c>
      <c r="D36" s="89">
        <f t="shared" si="18"/>
        <v>2.5</v>
      </c>
      <c r="E36" s="89">
        <f t="shared" si="18"/>
        <v>1</v>
      </c>
      <c r="F36" s="89">
        <f t="shared" si="18"/>
        <v>1</v>
      </c>
      <c r="G36" s="89">
        <f t="shared" si="18"/>
        <v>1</v>
      </c>
      <c r="H36" s="89">
        <f t="shared" si="18"/>
        <v>2.5</v>
      </c>
      <c r="I36" s="89">
        <f t="shared" si="18"/>
        <v>0</v>
      </c>
      <c r="J36" s="89">
        <f t="shared" si="18"/>
        <v>2</v>
      </c>
      <c r="K36" s="89">
        <f t="shared" si="18"/>
        <v>1</v>
      </c>
      <c r="L36" s="89">
        <f t="shared" si="18"/>
        <v>0</v>
      </c>
      <c r="M36" s="89">
        <f t="shared" si="18"/>
        <v>1</v>
      </c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2:39" x14ac:dyDescent="0.3">
      <c r="B37" s="16"/>
      <c r="C37" s="16"/>
      <c r="D37" s="16"/>
      <c r="E37" s="16"/>
      <c r="F37" s="16"/>
      <c r="G37" s="16"/>
      <c r="H37" s="16"/>
      <c r="I37" s="16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2:39" x14ac:dyDescent="0.3">
      <c r="B38" s="16"/>
      <c r="C38" s="16"/>
      <c r="D38" s="16"/>
      <c r="E38" s="16"/>
      <c r="F38" s="16"/>
      <c r="G38" s="16"/>
      <c r="H38" s="16"/>
      <c r="I38" s="16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2:39" x14ac:dyDescent="0.3">
      <c r="J39">
        <v>2</v>
      </c>
      <c r="K39">
        <v>1</v>
      </c>
      <c r="L39">
        <v>2</v>
      </c>
      <c r="M39">
        <v>1</v>
      </c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2:39" x14ac:dyDescent="0.3">
      <c r="B40" s="28" t="s">
        <v>305</v>
      </c>
      <c r="C40" s="319" t="s">
        <v>3</v>
      </c>
      <c r="D40" s="319"/>
      <c r="E40" s="319"/>
      <c r="F40" s="319"/>
      <c r="G40" s="319"/>
      <c r="H40" s="319"/>
      <c r="I40" s="320"/>
      <c r="J40" s="318" t="s">
        <v>4</v>
      </c>
      <c r="K40" s="319"/>
      <c r="L40" s="318" t="s">
        <v>113</v>
      </c>
      <c r="M40" s="319"/>
      <c r="P40" s="332" t="s">
        <v>81</v>
      </c>
      <c r="Q40" s="333"/>
      <c r="R40" s="334"/>
      <c r="S40" s="332" t="s">
        <v>82</v>
      </c>
      <c r="T40" s="333"/>
      <c r="U40" s="334"/>
      <c r="V40" s="332" t="s">
        <v>92</v>
      </c>
      <c r="W40" s="333"/>
      <c r="X40" s="334"/>
      <c r="Y40" s="11"/>
      <c r="Z40" s="323" t="s">
        <v>3</v>
      </c>
      <c r="AA40" s="324"/>
      <c r="AB40" s="325"/>
      <c r="AC40" s="323" t="s">
        <v>4</v>
      </c>
      <c r="AD40" s="324"/>
      <c r="AE40" s="325"/>
      <c r="AF40" s="323" t="s">
        <v>113</v>
      </c>
      <c r="AG40" s="324"/>
      <c r="AH40" s="325"/>
      <c r="AJ40" s="326" t="s">
        <v>114</v>
      </c>
      <c r="AK40" s="327"/>
      <c r="AL40" s="328"/>
      <c r="AM40" s="11"/>
    </row>
    <row r="41" spans="2:39" x14ac:dyDescent="0.3">
      <c r="B41" s="87" t="s">
        <v>300</v>
      </c>
      <c r="C41" s="17" t="s">
        <v>5</v>
      </c>
      <c r="D41" s="17" t="s">
        <v>6</v>
      </c>
      <c r="E41" s="17" t="s">
        <v>7</v>
      </c>
      <c r="F41" s="17" t="s">
        <v>8</v>
      </c>
      <c r="G41" s="17" t="s">
        <v>9</v>
      </c>
      <c r="H41" s="17" t="s">
        <v>10</v>
      </c>
      <c r="I41" s="4" t="s">
        <v>12</v>
      </c>
      <c r="J41" s="4" t="s">
        <v>11</v>
      </c>
      <c r="K41" s="4" t="s">
        <v>12</v>
      </c>
      <c r="L41" s="4" t="s">
        <v>11</v>
      </c>
      <c r="M41" s="4" t="s">
        <v>12</v>
      </c>
      <c r="P41" s="183" t="s">
        <v>143</v>
      </c>
      <c r="Q41" s="120" t="s">
        <v>144</v>
      </c>
      <c r="R41" s="184" t="s">
        <v>16</v>
      </c>
      <c r="S41" s="183" t="s">
        <v>143</v>
      </c>
      <c r="T41" s="120" t="s">
        <v>144</v>
      </c>
      <c r="U41" s="184" t="s">
        <v>16</v>
      </c>
      <c r="V41" s="183" t="s">
        <v>143</v>
      </c>
      <c r="W41" s="120" t="s">
        <v>144</v>
      </c>
      <c r="X41" s="184" t="s">
        <v>16</v>
      </c>
      <c r="Y41" s="10"/>
      <c r="Z41" s="24" t="s">
        <v>13</v>
      </c>
      <c r="AA41" s="17" t="s">
        <v>28</v>
      </c>
      <c r="AB41" s="23" t="s">
        <v>29</v>
      </c>
      <c r="AC41" s="24" t="s">
        <v>13</v>
      </c>
      <c r="AD41" s="17" t="s">
        <v>28</v>
      </c>
      <c r="AE41" s="23" t="s">
        <v>29</v>
      </c>
      <c r="AF41" s="24" t="s">
        <v>13</v>
      </c>
      <c r="AG41" s="17" t="s">
        <v>28</v>
      </c>
      <c r="AH41" s="23" t="s">
        <v>29</v>
      </c>
      <c r="AJ41" s="24" t="s">
        <v>13</v>
      </c>
      <c r="AK41" s="17" t="s">
        <v>28</v>
      </c>
      <c r="AL41" s="23" t="s">
        <v>29</v>
      </c>
      <c r="AM41" s="11"/>
    </row>
    <row r="42" spans="2:39" x14ac:dyDescent="0.3">
      <c r="B42" s="133" t="s">
        <v>0</v>
      </c>
      <c r="C42" s="16">
        <v>3</v>
      </c>
      <c r="D42" s="16">
        <v>2</v>
      </c>
      <c r="E42" s="16">
        <v>2</v>
      </c>
      <c r="F42" s="16">
        <v>2</v>
      </c>
      <c r="G42" s="16">
        <v>2</v>
      </c>
      <c r="H42" s="16">
        <v>2</v>
      </c>
      <c r="I42" s="16">
        <v>6</v>
      </c>
      <c r="J42" s="273">
        <v>10</v>
      </c>
      <c r="K42" s="273">
        <v>10</v>
      </c>
      <c r="L42">
        <v>6</v>
      </c>
      <c r="M42">
        <v>6</v>
      </c>
      <c r="O42" t="str">
        <f>+B40</f>
        <v>Einst. án barns - Kvótaflóttafólk</v>
      </c>
      <c r="P42" s="181">
        <f>+SUM(C44:I44)</f>
        <v>33</v>
      </c>
      <c r="Q42" s="5">
        <f>+SUM(C48:I48)</f>
        <v>36</v>
      </c>
      <c r="R42" s="182">
        <f>+SUM(C47:I47)</f>
        <v>21</v>
      </c>
      <c r="S42" s="181">
        <f>+J44+K44</f>
        <v>30</v>
      </c>
      <c r="T42" s="5">
        <f>+J48+K48</f>
        <v>0</v>
      </c>
      <c r="U42" s="182">
        <f>+J47+K47</f>
        <v>0</v>
      </c>
      <c r="V42" s="181">
        <f>+L44+M44</f>
        <v>18</v>
      </c>
      <c r="W42" s="215">
        <f>+L48+M48</f>
        <v>0</v>
      </c>
      <c r="X42" s="216">
        <f>+L47+M47</f>
        <v>0</v>
      </c>
      <c r="Y42" s="10"/>
      <c r="Z42" s="103">
        <f>+SUM(C50:I50)</f>
        <v>90</v>
      </c>
      <c r="AA42" s="26">
        <f>+Z42/(VirkarVinnustPrMan*12)</f>
        <v>4.8076922337278116E-2</v>
      </c>
      <c r="AB42" s="27">
        <f>+Z42*LaunKlst</f>
        <v>614900.48918399995</v>
      </c>
      <c r="AC42" s="103">
        <f>+J50+K50</f>
        <v>30</v>
      </c>
      <c r="AD42" s="26">
        <f>+AC42/(VirkarVinnustPrMan*12)</f>
        <v>1.6025640779092704E-2</v>
      </c>
      <c r="AE42" s="27">
        <f>+AC42*LaunKlst</f>
        <v>204966.82972799998</v>
      </c>
      <c r="AF42" s="103">
        <f>+L50+M50</f>
        <v>18</v>
      </c>
      <c r="AG42" s="26">
        <f>+AF42/(VirkarVinnustPrMan*12)</f>
        <v>9.6153844674556222E-3</v>
      </c>
      <c r="AH42" s="27">
        <f>+AF42*LaunKlst</f>
        <v>122980.09783679999</v>
      </c>
      <c r="AI42" s="1"/>
      <c r="AJ42" s="103">
        <f>+Z42+AC42+AF42</f>
        <v>138</v>
      </c>
      <c r="AK42" s="108">
        <f>+AA42+AD42+AG42</f>
        <v>7.3717947583826438E-2</v>
      </c>
      <c r="AL42" s="27">
        <f>+AB42+AE42+AH42</f>
        <v>942847.41674879997</v>
      </c>
      <c r="AM42" s="11"/>
    </row>
    <row r="43" spans="2:39" x14ac:dyDescent="0.3">
      <c r="B43" s="133" t="s">
        <v>137</v>
      </c>
      <c r="C43" s="83">
        <v>2</v>
      </c>
      <c r="D43" s="83">
        <v>2</v>
      </c>
      <c r="E43" s="83">
        <v>2</v>
      </c>
      <c r="F43" s="83">
        <v>2</v>
      </c>
      <c r="G43" s="83">
        <v>1.5</v>
      </c>
      <c r="H43" s="83">
        <v>1.5</v>
      </c>
      <c r="I43" s="83">
        <v>1.5</v>
      </c>
      <c r="J43" s="5">
        <v>1.5</v>
      </c>
      <c r="K43" s="5">
        <v>1.5</v>
      </c>
      <c r="L43" s="5">
        <v>1.5</v>
      </c>
      <c r="M43" s="5">
        <v>1.5</v>
      </c>
      <c r="O43" s="11"/>
      <c r="P43" s="11"/>
      <c r="Q43" s="11"/>
      <c r="R43" s="11"/>
      <c r="Y43" s="10"/>
      <c r="Z43" s="19"/>
      <c r="AA43" s="21"/>
      <c r="AB43" s="109"/>
      <c r="AC43" s="19"/>
      <c r="AD43" s="21"/>
      <c r="AE43" s="109"/>
      <c r="AF43" s="19"/>
      <c r="AG43" s="21"/>
      <c r="AH43" s="109"/>
      <c r="AI43" s="11"/>
      <c r="AJ43" s="19"/>
      <c r="AK43" s="21"/>
      <c r="AL43" s="109"/>
      <c r="AM43" s="11"/>
    </row>
    <row r="44" spans="2:39" x14ac:dyDescent="0.3">
      <c r="B44" s="10" t="s">
        <v>301</v>
      </c>
      <c r="C44" s="16">
        <f t="shared" ref="C44" si="19">+C42*C43</f>
        <v>6</v>
      </c>
      <c r="D44" s="16">
        <f t="shared" ref="D44" si="20">+D42*D43</f>
        <v>4</v>
      </c>
      <c r="E44" s="16">
        <f t="shared" ref="E44" si="21">+E42*E43</f>
        <v>4</v>
      </c>
      <c r="F44" s="16">
        <f t="shared" ref="F44" si="22">+F42*F43</f>
        <v>4</v>
      </c>
      <c r="G44" s="16">
        <f t="shared" ref="G44" si="23">+G42*G43</f>
        <v>3</v>
      </c>
      <c r="H44" s="16">
        <f t="shared" ref="H44" si="24">+H42*H43</f>
        <v>3</v>
      </c>
      <c r="I44" s="16">
        <f t="shared" ref="I44" si="25">+I42*I43</f>
        <v>9</v>
      </c>
      <c r="J44" s="16">
        <f t="shared" ref="J44" si="26">+J42*J43</f>
        <v>15</v>
      </c>
      <c r="K44" s="16">
        <f t="shared" ref="K44" si="27">+K42*K43</f>
        <v>15</v>
      </c>
      <c r="L44" s="16">
        <f t="shared" ref="L44" si="28">+L42*L43</f>
        <v>9</v>
      </c>
      <c r="M44" s="16">
        <f t="shared" ref="M44" si="29">+M42*M43</f>
        <v>9</v>
      </c>
      <c r="O44" s="11"/>
      <c r="P44" s="11"/>
      <c r="Q44" s="11"/>
      <c r="R44" s="11"/>
      <c r="Y44" s="11"/>
      <c r="Z44" s="100"/>
      <c r="AA44" s="111"/>
      <c r="AB44" s="112"/>
      <c r="AC44" s="100"/>
      <c r="AD44" s="111"/>
      <c r="AE44" s="143"/>
      <c r="AF44" s="19"/>
      <c r="AG44" s="21"/>
      <c r="AH44" s="109"/>
      <c r="AJ44" s="19"/>
      <c r="AK44" s="111"/>
      <c r="AL44" s="112"/>
      <c r="AM44" s="11"/>
    </row>
    <row r="45" spans="2:39" x14ac:dyDescent="0.3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O45" s="272" t="s">
        <v>266</v>
      </c>
      <c r="P45" s="11"/>
      <c r="Q45" s="11"/>
      <c r="R45" s="11"/>
      <c r="S45" s="11"/>
      <c r="T45" s="11"/>
      <c r="U45" s="11"/>
      <c r="V45" s="11"/>
      <c r="Y45" s="11"/>
      <c r="Z45" s="88"/>
      <c r="AA45" s="21"/>
      <c r="AB45" s="109"/>
      <c r="AC45" s="135"/>
      <c r="AD45" s="11"/>
      <c r="AE45" s="109"/>
      <c r="AF45" s="19"/>
      <c r="AG45" s="109"/>
      <c r="AH45" s="109"/>
      <c r="AJ45" s="109"/>
      <c r="AK45" s="11"/>
      <c r="AL45" s="11"/>
      <c r="AM45" s="11"/>
    </row>
    <row r="46" spans="2:39" x14ac:dyDescent="0.3">
      <c r="B46" s="87" t="s">
        <v>138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O46" s="272" t="s">
        <v>269</v>
      </c>
      <c r="P46" s="11"/>
      <c r="Q46" s="11"/>
      <c r="R46" s="11"/>
      <c r="Y46" s="11"/>
      <c r="Z46" s="88"/>
      <c r="AA46" s="21"/>
      <c r="AB46" s="109"/>
      <c r="AC46" s="135"/>
      <c r="AD46" s="11"/>
      <c r="AE46" s="109"/>
      <c r="AF46" s="19"/>
      <c r="AG46" s="109"/>
      <c r="AH46" s="109"/>
      <c r="AJ46" s="109"/>
      <c r="AK46" s="11"/>
      <c r="AL46" s="11"/>
      <c r="AM46" s="11"/>
    </row>
    <row r="47" spans="2:39" x14ac:dyDescent="0.3">
      <c r="B47" s="133" t="s">
        <v>139</v>
      </c>
      <c r="C47" s="16">
        <f>+'Sérstök umsýsla'!M20</f>
        <v>21</v>
      </c>
      <c r="D47" s="16"/>
      <c r="E47" s="16"/>
      <c r="F47" s="16"/>
      <c r="G47" s="16"/>
      <c r="H47" s="16"/>
      <c r="I47" s="16"/>
      <c r="Y47" s="80"/>
      <c r="Z47" s="134"/>
      <c r="AA47" s="1"/>
      <c r="AB47" s="1"/>
      <c r="AC47" s="7"/>
      <c r="AD47" s="11"/>
      <c r="AE47" s="109"/>
      <c r="AG47" s="109"/>
      <c r="AJ47" s="109"/>
      <c r="AK47" s="11"/>
      <c r="AL47" s="11"/>
      <c r="AM47" s="11"/>
    </row>
    <row r="48" spans="2:39" x14ac:dyDescent="0.3">
      <c r="B48" s="133" t="s">
        <v>140</v>
      </c>
      <c r="C48" s="5">
        <f>+'Sérstök umsýsla'!M19</f>
        <v>24</v>
      </c>
      <c r="D48" s="5">
        <f>+'Sérstök umsýsla'!N19</f>
        <v>4</v>
      </c>
      <c r="E48" s="5">
        <f>+'Sérstök umsýsla'!O19</f>
        <v>2</v>
      </c>
      <c r="F48" s="5">
        <f>+'Sérstök umsýsla'!P19</f>
        <v>2</v>
      </c>
      <c r="G48" s="5">
        <f>+'Sérstök umsýsla'!Q19</f>
        <v>2</v>
      </c>
      <c r="H48" s="5">
        <f>+'Sérstök umsýsla'!R19</f>
        <v>2</v>
      </c>
      <c r="I48" s="5">
        <f>+'Sérstök umsýsla'!S19</f>
        <v>0</v>
      </c>
      <c r="J48" s="5">
        <f>+'Sérstök umsýsla'!T19</f>
        <v>0</v>
      </c>
      <c r="K48" s="5">
        <f>+'Sérstök umsýsla'!U19</f>
        <v>0</v>
      </c>
      <c r="L48" s="5">
        <f>+'Sérstök umsýsla'!V19</f>
        <v>0</v>
      </c>
      <c r="M48" s="5">
        <f>+'Sérstök umsýsla'!W19</f>
        <v>0</v>
      </c>
      <c r="Y48" s="11"/>
      <c r="Z48" s="88"/>
      <c r="AA48" s="1"/>
      <c r="AB48" s="1"/>
      <c r="AC48" s="7"/>
      <c r="AD48" s="11"/>
      <c r="AE48" s="109"/>
      <c r="AG48" s="109"/>
      <c r="AJ48" s="109"/>
      <c r="AK48" s="11"/>
      <c r="AL48" s="11"/>
      <c r="AM48" s="11"/>
    </row>
    <row r="49" spans="2:39" x14ac:dyDescent="0.3">
      <c r="B49" s="10" t="s">
        <v>142</v>
      </c>
      <c r="C49" s="16">
        <f t="shared" ref="C49:M49" si="30">SUM(C47:C48)</f>
        <v>45</v>
      </c>
      <c r="D49" s="16">
        <f t="shared" si="30"/>
        <v>4</v>
      </c>
      <c r="E49" s="16">
        <f t="shared" si="30"/>
        <v>2</v>
      </c>
      <c r="F49" s="16">
        <f t="shared" si="30"/>
        <v>2</v>
      </c>
      <c r="G49" s="16">
        <f t="shared" si="30"/>
        <v>2</v>
      </c>
      <c r="H49" s="16">
        <f t="shared" si="30"/>
        <v>2</v>
      </c>
      <c r="I49" s="16">
        <f t="shared" si="30"/>
        <v>0</v>
      </c>
      <c r="J49" s="16">
        <f t="shared" si="30"/>
        <v>0</v>
      </c>
      <c r="K49" s="16">
        <f t="shared" si="30"/>
        <v>0</v>
      </c>
      <c r="L49" s="16">
        <f t="shared" si="30"/>
        <v>0</v>
      </c>
      <c r="M49" s="16">
        <f t="shared" si="30"/>
        <v>0</v>
      </c>
      <c r="Y49" s="11"/>
      <c r="Z49" s="100"/>
      <c r="AA49" s="100"/>
      <c r="AB49" s="100"/>
      <c r="AC49" s="100"/>
      <c r="AD49" s="100"/>
      <c r="AE49" s="11"/>
      <c r="AF49" s="100"/>
      <c r="AG49" s="100"/>
      <c r="AH49" s="11"/>
      <c r="AI49" s="11"/>
      <c r="AJ49" s="11"/>
      <c r="AK49" s="11"/>
      <c r="AL49" s="11"/>
      <c r="AM49" s="11"/>
    </row>
    <row r="50" spans="2:39" x14ac:dyDescent="0.3">
      <c r="B50" s="29" t="s">
        <v>27</v>
      </c>
      <c r="C50" s="29">
        <f t="shared" ref="C50:M50" si="31">+C44+C49</f>
        <v>51</v>
      </c>
      <c r="D50" s="29">
        <f t="shared" si="31"/>
        <v>8</v>
      </c>
      <c r="E50" s="29">
        <f t="shared" si="31"/>
        <v>6</v>
      </c>
      <c r="F50" s="29">
        <f t="shared" si="31"/>
        <v>6</v>
      </c>
      <c r="G50" s="29">
        <f t="shared" si="31"/>
        <v>5</v>
      </c>
      <c r="H50" s="29">
        <f t="shared" si="31"/>
        <v>5</v>
      </c>
      <c r="I50" s="29">
        <f t="shared" si="31"/>
        <v>9</v>
      </c>
      <c r="J50" s="29">
        <f t="shared" si="31"/>
        <v>15</v>
      </c>
      <c r="K50" s="29">
        <f t="shared" si="31"/>
        <v>15</v>
      </c>
      <c r="L50" s="29">
        <f t="shared" si="31"/>
        <v>9</v>
      </c>
      <c r="M50" s="29">
        <f t="shared" si="31"/>
        <v>9</v>
      </c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2:39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2:39" x14ac:dyDescent="0.3">
      <c r="B52" s="28" t="s">
        <v>85</v>
      </c>
      <c r="C52" s="319" t="s">
        <v>3</v>
      </c>
      <c r="D52" s="319"/>
      <c r="E52" s="319"/>
      <c r="F52" s="319"/>
      <c r="G52" s="319"/>
      <c r="H52" s="319"/>
      <c r="I52" s="320"/>
      <c r="J52" s="318" t="s">
        <v>4</v>
      </c>
      <c r="K52" s="319"/>
      <c r="L52" s="318" t="s">
        <v>113</v>
      </c>
      <c r="M52" s="319"/>
      <c r="P52" s="332" t="s">
        <v>81</v>
      </c>
      <c r="Q52" s="333"/>
      <c r="R52" s="334"/>
      <c r="S52" s="332" t="s">
        <v>82</v>
      </c>
      <c r="T52" s="333"/>
      <c r="U52" s="334"/>
      <c r="V52" s="332" t="s">
        <v>92</v>
      </c>
      <c r="W52" s="333"/>
      <c r="X52" s="334"/>
      <c r="Y52" s="11"/>
      <c r="Z52" s="323" t="s">
        <v>3</v>
      </c>
      <c r="AA52" s="324"/>
      <c r="AB52" s="325"/>
      <c r="AC52" s="323" t="s">
        <v>4</v>
      </c>
      <c r="AD52" s="324"/>
      <c r="AE52" s="325"/>
      <c r="AF52" s="323" t="s">
        <v>113</v>
      </c>
      <c r="AG52" s="324"/>
      <c r="AH52" s="325"/>
      <c r="AJ52" s="326" t="s">
        <v>114</v>
      </c>
      <c r="AK52" s="327"/>
      <c r="AL52" s="328"/>
      <c r="AM52" s="11"/>
    </row>
    <row r="53" spans="2:39" x14ac:dyDescent="0.3">
      <c r="B53" s="87" t="s">
        <v>300</v>
      </c>
      <c r="C53" s="17" t="s">
        <v>5</v>
      </c>
      <c r="D53" s="17" t="s">
        <v>6</v>
      </c>
      <c r="E53" s="17" t="s">
        <v>7</v>
      </c>
      <c r="F53" s="17" t="s">
        <v>8</v>
      </c>
      <c r="G53" s="17" t="s">
        <v>9</v>
      </c>
      <c r="H53" s="17" t="s">
        <v>10</v>
      </c>
      <c r="I53" s="4" t="s">
        <v>12</v>
      </c>
      <c r="J53" s="4" t="s">
        <v>11</v>
      </c>
      <c r="K53" s="4" t="s">
        <v>12</v>
      </c>
      <c r="L53" s="4" t="s">
        <v>11</v>
      </c>
      <c r="M53" s="4" t="s">
        <v>12</v>
      </c>
      <c r="P53" s="183" t="s">
        <v>143</v>
      </c>
      <c r="Q53" s="120" t="s">
        <v>144</v>
      </c>
      <c r="R53" s="184" t="s">
        <v>16</v>
      </c>
      <c r="S53" s="183" t="s">
        <v>143</v>
      </c>
      <c r="T53" s="120" t="s">
        <v>144</v>
      </c>
      <c r="U53" s="184" t="s">
        <v>16</v>
      </c>
      <c r="V53" s="183" t="s">
        <v>143</v>
      </c>
      <c r="W53" s="120" t="s">
        <v>144</v>
      </c>
      <c r="X53" s="184" t="s">
        <v>16</v>
      </c>
      <c r="Y53" s="10"/>
      <c r="Z53" s="24" t="s">
        <v>13</v>
      </c>
      <c r="AA53" s="17" t="s">
        <v>28</v>
      </c>
      <c r="AB53" s="23" t="s">
        <v>29</v>
      </c>
      <c r="AC53" s="24" t="s">
        <v>13</v>
      </c>
      <c r="AD53" s="17" t="s">
        <v>28</v>
      </c>
      <c r="AE53" s="23" t="s">
        <v>29</v>
      </c>
      <c r="AF53" s="24" t="s">
        <v>13</v>
      </c>
      <c r="AG53" s="17" t="s">
        <v>28</v>
      </c>
      <c r="AH53" s="23" t="s">
        <v>29</v>
      </c>
      <c r="AJ53" s="24" t="s">
        <v>13</v>
      </c>
      <c r="AK53" s="17" t="s">
        <v>28</v>
      </c>
      <c r="AL53" s="23" t="s">
        <v>29</v>
      </c>
      <c r="AM53" s="11"/>
    </row>
    <row r="54" spans="2:39" x14ac:dyDescent="0.3">
      <c r="B54" s="133" t="s">
        <v>0</v>
      </c>
      <c r="C54" s="16">
        <v>3</v>
      </c>
      <c r="D54" s="16">
        <v>3</v>
      </c>
      <c r="E54" s="16">
        <v>3</v>
      </c>
      <c r="F54" s="16">
        <v>3</v>
      </c>
      <c r="G54" s="16">
        <v>3</v>
      </c>
      <c r="H54" s="16">
        <v>3</v>
      </c>
      <c r="I54" s="16">
        <v>6</v>
      </c>
      <c r="J54" s="273">
        <v>12</v>
      </c>
      <c r="K54" s="273">
        <v>11</v>
      </c>
      <c r="L54">
        <v>6</v>
      </c>
      <c r="M54">
        <v>6</v>
      </c>
      <c r="O54" t="str">
        <f>+B52</f>
        <v>Hjón án barns - Kvótaflóttafólk</v>
      </c>
      <c r="P54" s="181">
        <f>+SUM(C56:I56)</f>
        <v>41.499999000000003</v>
      </c>
      <c r="Q54" s="5">
        <f>+SUM(C60:I60)</f>
        <v>36</v>
      </c>
      <c r="R54" s="182">
        <f>+SUM(C59:I59)</f>
        <v>21</v>
      </c>
      <c r="S54" s="181">
        <f>+J56+K56</f>
        <v>34.5</v>
      </c>
      <c r="T54" s="5">
        <f>+J60+K60</f>
        <v>0</v>
      </c>
      <c r="U54" s="182">
        <f>+J59+K59</f>
        <v>0</v>
      </c>
      <c r="V54" s="181">
        <f>+L56+M56</f>
        <v>18</v>
      </c>
      <c r="W54" s="215">
        <f>+L60+M60</f>
        <v>0</v>
      </c>
      <c r="X54" s="216">
        <f>+L59+M59</f>
        <v>0</v>
      </c>
      <c r="Y54" s="10"/>
      <c r="Z54" s="103">
        <f>+SUM(C62:I62)</f>
        <v>98.499999000000003</v>
      </c>
      <c r="AA54" s="26">
        <f>+Z54/(VirkarVinnustPrMan*12)</f>
        <v>5.2617520023833027E-2</v>
      </c>
      <c r="AB54" s="27">
        <f>+Z54*LaunKlst</f>
        <v>672974.41744137229</v>
      </c>
      <c r="AC54" s="103">
        <f>+J62+K62</f>
        <v>34.5</v>
      </c>
      <c r="AD54" s="26">
        <f>+AC54/(VirkarVinnustPrMan*12)</f>
        <v>1.8429486895956609E-2</v>
      </c>
      <c r="AE54" s="27">
        <f>+AC54*LaunKlst</f>
        <v>235711.85418719999</v>
      </c>
      <c r="AF54" s="103">
        <f>+L62+M62</f>
        <v>18</v>
      </c>
      <c r="AG54" s="26">
        <f>+AF54/(VirkarVinnustPrMan*12)</f>
        <v>9.6153844674556222E-3</v>
      </c>
      <c r="AH54" s="27">
        <f>+AF54*LaunKlst</f>
        <v>122980.09783679999</v>
      </c>
      <c r="AI54" s="1"/>
      <c r="AJ54" s="103">
        <f>+Z54+AC54+AF54</f>
        <v>150.999999</v>
      </c>
      <c r="AK54" s="108">
        <f>+AA54+AD54+AG54</f>
        <v>8.066239138724525E-2</v>
      </c>
      <c r="AL54" s="27">
        <f>+AB54+AE54+AH54</f>
        <v>1031666.3694653723</v>
      </c>
      <c r="AM54" s="11"/>
    </row>
    <row r="55" spans="2:39" x14ac:dyDescent="0.3">
      <c r="B55" s="133" t="s">
        <v>137</v>
      </c>
      <c r="C55" s="83">
        <v>2</v>
      </c>
      <c r="D55" s="83">
        <v>2</v>
      </c>
      <c r="E55" s="83">
        <v>2</v>
      </c>
      <c r="F55" s="83">
        <v>1.8333330000000001</v>
      </c>
      <c r="G55" s="83">
        <v>1.5</v>
      </c>
      <c r="H55" s="83">
        <v>1.5</v>
      </c>
      <c r="I55" s="83">
        <v>1.5</v>
      </c>
      <c r="J55" s="5">
        <v>1.5</v>
      </c>
      <c r="K55" s="5">
        <v>1.5</v>
      </c>
      <c r="L55" s="5">
        <v>1.5</v>
      </c>
      <c r="M55" s="5">
        <v>1.5</v>
      </c>
      <c r="O55" s="11"/>
      <c r="P55" s="11"/>
      <c r="Q55" s="11"/>
      <c r="R55" s="11"/>
      <c r="Y55" s="10"/>
      <c r="Z55" s="19"/>
      <c r="AA55" s="21"/>
      <c r="AB55" s="109"/>
      <c r="AC55" s="19"/>
      <c r="AD55" s="21"/>
      <c r="AE55" s="109"/>
      <c r="AF55" s="19"/>
      <c r="AG55" s="21"/>
      <c r="AH55" s="109"/>
      <c r="AI55" s="11"/>
      <c r="AJ55" s="19"/>
      <c r="AK55" s="21"/>
      <c r="AL55" s="109"/>
      <c r="AM55" s="11"/>
    </row>
    <row r="56" spans="2:39" x14ac:dyDescent="0.3">
      <c r="B56" s="10" t="s">
        <v>301</v>
      </c>
      <c r="C56" s="16">
        <f t="shared" ref="C56" si="32">+C54*C55</f>
        <v>6</v>
      </c>
      <c r="D56" s="16">
        <f t="shared" ref="D56" si="33">+D54*D55</f>
        <v>6</v>
      </c>
      <c r="E56" s="16">
        <f t="shared" ref="E56" si="34">+E54*E55</f>
        <v>6</v>
      </c>
      <c r="F56" s="16">
        <f t="shared" ref="F56" si="35">+F54*F55</f>
        <v>5.4999990000000007</v>
      </c>
      <c r="G56" s="16">
        <f t="shared" ref="G56" si="36">+G54*G55</f>
        <v>4.5</v>
      </c>
      <c r="H56" s="16">
        <f t="shared" ref="H56" si="37">+H54*H55</f>
        <v>4.5</v>
      </c>
      <c r="I56" s="16">
        <f t="shared" ref="I56" si="38">+I54*I55</f>
        <v>9</v>
      </c>
      <c r="J56" s="16">
        <f t="shared" ref="J56" si="39">+J54*J55</f>
        <v>18</v>
      </c>
      <c r="K56" s="16">
        <f t="shared" ref="K56" si="40">+K54*K55</f>
        <v>16.5</v>
      </c>
      <c r="L56" s="16">
        <f t="shared" ref="L56" si="41">+L54*L55</f>
        <v>9</v>
      </c>
      <c r="M56" s="16">
        <f t="shared" ref="M56" si="42">+M54*M55</f>
        <v>9</v>
      </c>
      <c r="O56" s="11"/>
      <c r="P56" s="11"/>
      <c r="Q56" s="11"/>
      <c r="R56" s="11"/>
      <c r="Y56" s="11"/>
      <c r="Z56" s="100"/>
      <c r="AA56" s="111"/>
      <c r="AB56" s="112"/>
      <c r="AC56" s="100"/>
      <c r="AD56" s="111"/>
      <c r="AE56" s="112"/>
      <c r="AF56" s="100"/>
      <c r="AG56" s="111"/>
      <c r="AH56" s="112"/>
      <c r="AI56" s="8"/>
      <c r="AJ56" s="100"/>
      <c r="AK56" s="111"/>
      <c r="AL56" s="112"/>
      <c r="AM56" s="11"/>
    </row>
    <row r="57" spans="2:39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O57" s="272" t="s">
        <v>266</v>
      </c>
      <c r="P57" s="11"/>
      <c r="Q57" s="11"/>
      <c r="R57" s="11"/>
      <c r="S57" s="11"/>
      <c r="T57" s="11"/>
      <c r="U57" s="11"/>
      <c r="V57" s="11"/>
      <c r="Y57" s="11"/>
      <c r="Z57" s="88"/>
      <c r="AA57" s="21"/>
      <c r="AB57" s="109"/>
      <c r="AC57" s="135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2:39" x14ac:dyDescent="0.3">
      <c r="B58" s="87" t="s">
        <v>138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O58" s="272" t="s">
        <v>269</v>
      </c>
      <c r="P58" s="11"/>
      <c r="Q58" s="11"/>
      <c r="R58" s="11"/>
      <c r="Y58" s="11"/>
      <c r="Z58" s="88"/>
      <c r="AA58" s="21"/>
      <c r="AB58" s="109"/>
      <c r="AC58" s="135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2:39" x14ac:dyDescent="0.3">
      <c r="B59" s="133" t="s">
        <v>139</v>
      </c>
      <c r="C59" s="16">
        <f>+'Sérstök umsýsla'!M20</f>
        <v>21</v>
      </c>
      <c r="D59" s="16"/>
      <c r="E59" s="16"/>
      <c r="F59" s="16"/>
      <c r="G59" s="16"/>
      <c r="H59" s="16"/>
      <c r="I59" s="16"/>
      <c r="Y59" s="80"/>
      <c r="Z59" s="134"/>
      <c r="AA59" s="1"/>
      <c r="AB59" s="1"/>
      <c r="AC59" s="7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2:39" x14ac:dyDescent="0.3">
      <c r="B60" s="133" t="s">
        <v>140</v>
      </c>
      <c r="C60" s="5">
        <f>+'Sérstök umsýsla'!M19</f>
        <v>24</v>
      </c>
      <c r="D60" s="5">
        <f>+'Sérstök umsýsla'!N19</f>
        <v>4</v>
      </c>
      <c r="E60" s="5">
        <f>+'Sérstök umsýsla'!O19</f>
        <v>2</v>
      </c>
      <c r="F60" s="5">
        <f>+'Sérstök umsýsla'!P19</f>
        <v>2</v>
      </c>
      <c r="G60" s="5">
        <f>+'Sérstök umsýsla'!Q19</f>
        <v>2</v>
      </c>
      <c r="H60" s="5">
        <f>+'Sérstök umsýsla'!R19</f>
        <v>2</v>
      </c>
      <c r="I60" s="5">
        <f>+'Sérstök umsýsla'!S19</f>
        <v>0</v>
      </c>
      <c r="J60" s="5">
        <f>+'Sérstök umsýsla'!T19</f>
        <v>0</v>
      </c>
      <c r="K60" s="5">
        <f>+'Sérstök umsýsla'!U19</f>
        <v>0</v>
      </c>
      <c r="L60" s="5">
        <f>+'Sérstök umsýsla'!V19</f>
        <v>0</v>
      </c>
      <c r="M60" s="5">
        <f>+'Sérstök umsýsla'!W19</f>
        <v>0</v>
      </c>
      <c r="Y60" s="11"/>
      <c r="Z60" s="88"/>
      <c r="AA60" s="1"/>
      <c r="AB60" s="1"/>
      <c r="AC60" s="7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2:39" x14ac:dyDescent="0.3">
      <c r="B61" s="10" t="s">
        <v>142</v>
      </c>
      <c r="C61" s="16">
        <f t="shared" ref="C61:M61" si="43">SUM(C59:C60)</f>
        <v>45</v>
      </c>
      <c r="D61" s="16">
        <f t="shared" si="43"/>
        <v>4</v>
      </c>
      <c r="E61" s="16">
        <f t="shared" si="43"/>
        <v>2</v>
      </c>
      <c r="F61" s="16">
        <f t="shared" si="43"/>
        <v>2</v>
      </c>
      <c r="G61" s="16">
        <f t="shared" si="43"/>
        <v>2</v>
      </c>
      <c r="H61" s="16">
        <f t="shared" si="43"/>
        <v>2</v>
      </c>
      <c r="I61" s="16">
        <f t="shared" si="43"/>
        <v>0</v>
      </c>
      <c r="J61" s="16">
        <f t="shared" si="43"/>
        <v>0</v>
      </c>
      <c r="K61" s="16">
        <f t="shared" si="43"/>
        <v>0</v>
      </c>
      <c r="L61" s="16">
        <f t="shared" si="43"/>
        <v>0</v>
      </c>
      <c r="M61" s="16">
        <f t="shared" si="43"/>
        <v>0</v>
      </c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2:39" x14ac:dyDescent="0.3">
      <c r="B62" s="29" t="s">
        <v>27</v>
      </c>
      <c r="C62" s="29">
        <f t="shared" ref="C62:M62" si="44">+C56+C61</f>
        <v>51</v>
      </c>
      <c r="D62" s="29">
        <f t="shared" si="44"/>
        <v>10</v>
      </c>
      <c r="E62" s="29">
        <f t="shared" si="44"/>
        <v>8</v>
      </c>
      <c r="F62" s="29">
        <f t="shared" si="44"/>
        <v>7.4999990000000007</v>
      </c>
      <c r="G62" s="29">
        <f t="shared" si="44"/>
        <v>6.5</v>
      </c>
      <c r="H62" s="29">
        <f t="shared" si="44"/>
        <v>6.5</v>
      </c>
      <c r="I62" s="29">
        <f t="shared" si="44"/>
        <v>9</v>
      </c>
      <c r="J62" s="29">
        <f t="shared" si="44"/>
        <v>18</v>
      </c>
      <c r="K62" s="29">
        <f t="shared" si="44"/>
        <v>16.5</v>
      </c>
      <c r="L62" s="29">
        <f t="shared" si="44"/>
        <v>9</v>
      </c>
      <c r="M62" s="29">
        <f t="shared" si="44"/>
        <v>9</v>
      </c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2:39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2:39" x14ac:dyDescent="0.3">
      <c r="B64" s="28" t="s">
        <v>298</v>
      </c>
      <c r="C64" s="319" t="s">
        <v>3</v>
      </c>
      <c r="D64" s="319"/>
      <c r="E64" s="319"/>
      <c r="F64" s="319"/>
      <c r="G64" s="319"/>
      <c r="H64" s="319"/>
      <c r="I64" s="320"/>
      <c r="J64" s="318" t="s">
        <v>4</v>
      </c>
      <c r="K64" s="320"/>
      <c r="L64" s="318" t="s">
        <v>113</v>
      </c>
      <c r="M64" s="319"/>
      <c r="P64" s="332" t="s">
        <v>81</v>
      </c>
      <c r="Q64" s="333"/>
      <c r="R64" s="334"/>
      <c r="S64" s="332" t="s">
        <v>82</v>
      </c>
      <c r="T64" s="333"/>
      <c r="U64" s="334"/>
      <c r="V64" s="332" t="s">
        <v>92</v>
      </c>
      <c r="W64" s="333"/>
      <c r="X64" s="334"/>
      <c r="Y64" s="11"/>
      <c r="Z64" s="323" t="s">
        <v>3</v>
      </c>
      <c r="AA64" s="324"/>
      <c r="AB64" s="325"/>
      <c r="AC64" s="323" t="s">
        <v>4</v>
      </c>
      <c r="AD64" s="324"/>
      <c r="AE64" s="325"/>
      <c r="AF64" s="323" t="s">
        <v>113</v>
      </c>
      <c r="AG64" s="324"/>
      <c r="AH64" s="325"/>
      <c r="AJ64" s="326" t="s">
        <v>114</v>
      </c>
      <c r="AK64" s="327"/>
      <c r="AL64" s="328"/>
      <c r="AM64" s="11"/>
    </row>
    <row r="65" spans="2:39" x14ac:dyDescent="0.3">
      <c r="B65" s="87" t="s">
        <v>300</v>
      </c>
      <c r="C65" s="17" t="s">
        <v>5</v>
      </c>
      <c r="D65" s="17" t="s">
        <v>6</v>
      </c>
      <c r="E65" s="17" t="s">
        <v>7</v>
      </c>
      <c r="F65" s="17" t="s">
        <v>8</v>
      </c>
      <c r="G65" s="17" t="s">
        <v>9</v>
      </c>
      <c r="H65" s="17" t="s">
        <v>10</v>
      </c>
      <c r="I65" s="4" t="s">
        <v>12</v>
      </c>
      <c r="J65" s="4" t="s">
        <v>11</v>
      </c>
      <c r="K65" s="4" t="s">
        <v>12</v>
      </c>
      <c r="L65" s="4" t="s">
        <v>11</v>
      </c>
      <c r="M65" s="4" t="s">
        <v>12</v>
      </c>
      <c r="P65" s="183" t="s">
        <v>143</v>
      </c>
      <c r="Q65" s="120" t="s">
        <v>144</v>
      </c>
      <c r="R65" s="184" t="s">
        <v>16</v>
      </c>
      <c r="S65" s="183" t="s">
        <v>143</v>
      </c>
      <c r="T65" s="120" t="s">
        <v>144</v>
      </c>
      <c r="U65" s="184" t="s">
        <v>16</v>
      </c>
      <c r="V65" s="183" t="s">
        <v>143</v>
      </c>
      <c r="W65" s="120" t="s">
        <v>144</v>
      </c>
      <c r="X65" s="184" t="s">
        <v>16</v>
      </c>
      <c r="Y65" s="11"/>
      <c r="Z65" s="24" t="s">
        <v>13</v>
      </c>
      <c r="AA65" s="17" t="s">
        <v>28</v>
      </c>
      <c r="AB65" s="23" t="s">
        <v>29</v>
      </c>
      <c r="AC65" s="24" t="s">
        <v>13</v>
      </c>
      <c r="AD65" s="17" t="s">
        <v>28</v>
      </c>
      <c r="AE65" s="23" t="s">
        <v>29</v>
      </c>
      <c r="AF65" s="24" t="s">
        <v>13</v>
      </c>
      <c r="AG65" s="17" t="s">
        <v>28</v>
      </c>
      <c r="AH65" s="23" t="s">
        <v>29</v>
      </c>
      <c r="AJ65" s="24" t="s">
        <v>13</v>
      </c>
      <c r="AK65" s="17" t="s">
        <v>28</v>
      </c>
      <c r="AL65" s="23" t="s">
        <v>29</v>
      </c>
      <c r="AM65" s="11"/>
    </row>
    <row r="66" spans="2:39" x14ac:dyDescent="0.3">
      <c r="B66" s="133" t="s">
        <v>0</v>
      </c>
      <c r="C66" s="16">
        <v>0</v>
      </c>
      <c r="D66" s="16">
        <v>1</v>
      </c>
      <c r="E66" s="16">
        <v>0</v>
      </c>
      <c r="F66" s="16">
        <v>1</v>
      </c>
      <c r="G66" s="16">
        <v>0</v>
      </c>
      <c r="H66" s="16">
        <v>0</v>
      </c>
      <c r="I66" s="16">
        <v>1</v>
      </c>
      <c r="J66">
        <v>2</v>
      </c>
      <c r="K66">
        <v>1</v>
      </c>
      <c r="L66">
        <v>0</v>
      </c>
      <c r="M66">
        <v>1</v>
      </c>
      <c r="O66" t="str">
        <f>+B64</f>
        <v>Pr. barn - Kvótaflóttafólk</v>
      </c>
      <c r="P66" s="181">
        <f>+SUM(C68:I68)</f>
        <v>4</v>
      </c>
      <c r="Q66" s="5">
        <f>+SUM(C71:I71)</f>
        <v>9</v>
      </c>
      <c r="R66" s="182">
        <v>0</v>
      </c>
      <c r="S66" s="181">
        <f>+J68+K68</f>
        <v>3</v>
      </c>
      <c r="T66" s="5">
        <f>+J71+K71</f>
        <v>0</v>
      </c>
      <c r="U66" s="182">
        <f>+J71+K71</f>
        <v>0</v>
      </c>
      <c r="V66" s="181">
        <f>+L68+M68</f>
        <v>1</v>
      </c>
      <c r="W66" s="215">
        <f>+L71+M71</f>
        <v>0</v>
      </c>
      <c r="X66" s="216">
        <v>0</v>
      </c>
      <c r="Y66" s="11"/>
      <c r="Z66" s="213">
        <f>+SUM(C73:I73)</f>
        <v>13</v>
      </c>
      <c r="AA66" s="26">
        <f>+Z66/(VirkarVinnustPrMan*12)</f>
        <v>6.9444443376068385E-3</v>
      </c>
      <c r="AB66" s="27">
        <f>+Z66*LaunKlst</f>
        <v>88818.95954879999</v>
      </c>
      <c r="AC66" s="213">
        <f>+J73+K73</f>
        <v>3</v>
      </c>
      <c r="AD66" s="26">
        <f>+AC66/(VirkarVinnustPrMan*12)</f>
        <v>1.6025640779092705E-3</v>
      </c>
      <c r="AE66" s="27">
        <f>+AC66*LaunKlst</f>
        <v>20496.682972799998</v>
      </c>
      <c r="AF66" s="213">
        <f>+L73+M73</f>
        <v>1</v>
      </c>
      <c r="AG66" s="26">
        <f>+AF66/(VirkarVinnustPrMan*12)</f>
        <v>5.3418802596975684E-4</v>
      </c>
      <c r="AH66" s="27">
        <f>+AF66*LaunKlst</f>
        <v>6832.2276575999995</v>
      </c>
      <c r="AI66" s="1"/>
      <c r="AJ66" s="213">
        <f>+Z66+AC66+AF66</f>
        <v>17</v>
      </c>
      <c r="AK66" s="108">
        <f>+AA66+AD66+AG66</f>
        <v>9.0811964414858667E-3</v>
      </c>
      <c r="AL66" s="27">
        <f>+AB66+AE66+AH66</f>
        <v>116147.87017919999</v>
      </c>
      <c r="AM66" s="11"/>
    </row>
    <row r="67" spans="2:39" x14ac:dyDescent="0.3">
      <c r="B67" s="133" t="s">
        <v>137</v>
      </c>
      <c r="C67" s="83">
        <v>1.5</v>
      </c>
      <c r="D67" s="83">
        <v>1.5</v>
      </c>
      <c r="E67" s="83">
        <v>1.5</v>
      </c>
      <c r="F67" s="83">
        <v>1.5</v>
      </c>
      <c r="G67" s="83">
        <v>1.5</v>
      </c>
      <c r="H67" s="83">
        <v>1.5</v>
      </c>
      <c r="I67" s="83">
        <v>1</v>
      </c>
      <c r="J67" s="5">
        <v>1</v>
      </c>
      <c r="K67" s="5">
        <v>1</v>
      </c>
      <c r="L67" s="5">
        <v>1</v>
      </c>
      <c r="M67" s="5">
        <v>1</v>
      </c>
      <c r="O67" s="11"/>
      <c r="P67" s="11"/>
      <c r="Q67" s="11"/>
      <c r="R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2:39" x14ac:dyDescent="0.3">
      <c r="B68" s="10" t="s">
        <v>301</v>
      </c>
      <c r="C68" s="16">
        <f t="shared" ref="C68:M68" si="45">+C66*C67</f>
        <v>0</v>
      </c>
      <c r="D68" s="16">
        <f t="shared" si="45"/>
        <v>1.5</v>
      </c>
      <c r="E68" s="16">
        <f t="shared" si="45"/>
        <v>0</v>
      </c>
      <c r="F68" s="16">
        <f t="shared" si="45"/>
        <v>1.5</v>
      </c>
      <c r="G68" s="16">
        <f t="shared" si="45"/>
        <v>0</v>
      </c>
      <c r="H68" s="16">
        <f t="shared" si="45"/>
        <v>0</v>
      </c>
      <c r="I68" s="16">
        <f t="shared" si="45"/>
        <v>1</v>
      </c>
      <c r="J68" s="16">
        <f t="shared" si="45"/>
        <v>2</v>
      </c>
      <c r="K68" s="16">
        <f t="shared" si="45"/>
        <v>1</v>
      </c>
      <c r="L68" s="16">
        <f t="shared" si="45"/>
        <v>0</v>
      </c>
      <c r="M68" s="16">
        <f t="shared" si="45"/>
        <v>1</v>
      </c>
      <c r="O68" s="11"/>
      <c r="P68" s="11"/>
      <c r="Q68" s="11"/>
      <c r="R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2:39" x14ac:dyDescent="0.3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O69" s="11"/>
      <c r="P69" s="11"/>
      <c r="Q69" s="11"/>
      <c r="R69" s="11"/>
      <c r="S69" s="11"/>
      <c r="T69" s="11"/>
      <c r="U69" s="11"/>
      <c r="V69" s="11"/>
      <c r="Y69" s="11"/>
      <c r="Z69" s="88"/>
      <c r="AA69" s="21"/>
      <c r="AB69" s="109"/>
      <c r="AC69" s="135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2:39" x14ac:dyDescent="0.3">
      <c r="B70" s="87" t="s">
        <v>138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O70" s="11"/>
      <c r="P70" s="11"/>
      <c r="Q70" s="11"/>
      <c r="R70" s="11"/>
      <c r="Y70" s="11"/>
      <c r="Z70" s="88"/>
      <c r="AA70" s="21"/>
      <c r="AB70" s="109"/>
      <c r="AC70" s="135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2:39" x14ac:dyDescent="0.3">
      <c r="B71" s="133" t="s">
        <v>141</v>
      </c>
      <c r="C71" s="34">
        <f>+'Sérstök umsýsla'!M25</f>
        <v>2</v>
      </c>
      <c r="D71" s="34">
        <f>+'Sérstök umsýsla'!N25</f>
        <v>2</v>
      </c>
      <c r="E71" s="34">
        <f>+'Sérstök umsýsla'!O25</f>
        <v>2</v>
      </c>
      <c r="F71" s="34">
        <f>+'Sérstök umsýsla'!P25</f>
        <v>1</v>
      </c>
      <c r="G71" s="34">
        <f>+'Sérstök umsýsla'!Q25</f>
        <v>1</v>
      </c>
      <c r="H71" s="34">
        <f>+'Sérstök umsýsla'!R25</f>
        <v>1</v>
      </c>
      <c r="I71" s="83"/>
      <c r="J71" s="5"/>
      <c r="K71" s="5"/>
      <c r="L71" s="5"/>
      <c r="M71" s="5"/>
      <c r="Y71" s="11"/>
      <c r="Z71" s="1"/>
      <c r="AA71" s="1"/>
      <c r="AB71" s="1"/>
      <c r="AC71" s="110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2:39" x14ac:dyDescent="0.3">
      <c r="B72" s="10" t="s">
        <v>142</v>
      </c>
      <c r="C72" s="16">
        <f t="shared" ref="C72:M72" si="46">SUM(C71:C71)</f>
        <v>2</v>
      </c>
      <c r="D72" s="16">
        <f t="shared" si="46"/>
        <v>2</v>
      </c>
      <c r="E72" s="16">
        <f t="shared" si="46"/>
        <v>2</v>
      </c>
      <c r="F72" s="16">
        <f t="shared" si="46"/>
        <v>1</v>
      </c>
      <c r="G72" s="16">
        <f t="shared" si="46"/>
        <v>1</v>
      </c>
      <c r="H72" s="16">
        <f t="shared" si="46"/>
        <v>1</v>
      </c>
      <c r="I72" s="16">
        <f t="shared" si="46"/>
        <v>0</v>
      </c>
      <c r="J72" s="16">
        <f t="shared" si="46"/>
        <v>0</v>
      </c>
      <c r="K72" s="16">
        <f t="shared" si="46"/>
        <v>0</v>
      </c>
      <c r="L72" s="16">
        <f t="shared" si="46"/>
        <v>0</v>
      </c>
      <c r="M72" s="16">
        <f t="shared" si="46"/>
        <v>0</v>
      </c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2:39" x14ac:dyDescent="0.3">
      <c r="B73" s="29" t="s">
        <v>27</v>
      </c>
      <c r="C73" s="29">
        <f t="shared" ref="C73:M73" si="47">+C68+C72</f>
        <v>2</v>
      </c>
      <c r="D73" s="29">
        <f t="shared" si="47"/>
        <v>3.5</v>
      </c>
      <c r="E73" s="29">
        <f t="shared" si="47"/>
        <v>2</v>
      </c>
      <c r="F73" s="29">
        <f t="shared" si="47"/>
        <v>2.5</v>
      </c>
      <c r="G73" s="29">
        <f t="shared" si="47"/>
        <v>1</v>
      </c>
      <c r="H73" s="29">
        <f t="shared" si="47"/>
        <v>1</v>
      </c>
      <c r="I73" s="29">
        <f t="shared" si="47"/>
        <v>1</v>
      </c>
      <c r="J73" s="29">
        <f t="shared" si="47"/>
        <v>2</v>
      </c>
      <c r="K73" s="29">
        <f t="shared" si="47"/>
        <v>1</v>
      </c>
      <c r="L73" s="29">
        <f t="shared" si="47"/>
        <v>0</v>
      </c>
      <c r="M73" s="29">
        <f t="shared" si="47"/>
        <v>1</v>
      </c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2:39" x14ac:dyDescent="0.3"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2:39" x14ac:dyDescent="0.3"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2:39" x14ac:dyDescent="0.3">
      <c r="B76" s="1" t="s">
        <v>179</v>
      </c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spans="2:39" x14ac:dyDescent="0.3">
      <c r="B77" s="30" t="s">
        <v>179</v>
      </c>
      <c r="C77" s="329" t="s">
        <v>3</v>
      </c>
      <c r="D77" s="329"/>
      <c r="E77" s="329"/>
      <c r="F77" s="329"/>
      <c r="G77" s="329"/>
      <c r="H77" s="329"/>
      <c r="I77" s="330"/>
      <c r="J77" s="331" t="s">
        <v>4</v>
      </c>
      <c r="K77" s="329"/>
      <c r="L77" s="331" t="s">
        <v>113</v>
      </c>
      <c r="M77" s="329"/>
      <c r="P77" s="332" t="s">
        <v>81</v>
      </c>
      <c r="Q77" s="333"/>
      <c r="R77" s="334"/>
      <c r="S77" s="332" t="s">
        <v>82</v>
      </c>
      <c r="T77" s="333"/>
      <c r="U77" s="334"/>
      <c r="V77" s="332" t="s">
        <v>92</v>
      </c>
      <c r="W77" s="333"/>
      <c r="X77" s="334"/>
      <c r="Y77" s="11"/>
      <c r="Z77" s="323" t="s">
        <v>3</v>
      </c>
      <c r="AA77" s="324"/>
      <c r="AB77" s="325"/>
      <c r="AC77" s="323" t="s">
        <v>4</v>
      </c>
      <c r="AD77" s="324"/>
      <c r="AE77" s="325"/>
      <c r="AF77" s="323" t="s">
        <v>113</v>
      </c>
      <c r="AG77" s="324"/>
      <c r="AH77" s="325"/>
      <c r="AJ77" s="326" t="s">
        <v>114</v>
      </c>
      <c r="AK77" s="327"/>
      <c r="AL77" s="328"/>
      <c r="AM77" s="11"/>
    </row>
    <row r="78" spans="2:39" x14ac:dyDescent="0.3">
      <c r="B78" s="87" t="s">
        <v>300</v>
      </c>
      <c r="C78" s="4" t="s">
        <v>5</v>
      </c>
      <c r="D78" s="4" t="s">
        <v>6</v>
      </c>
      <c r="E78" s="4" t="s">
        <v>7</v>
      </c>
      <c r="F78" s="4" t="s">
        <v>8</v>
      </c>
      <c r="G78" s="4" t="s">
        <v>9</v>
      </c>
      <c r="H78" s="4" t="s">
        <v>10</v>
      </c>
      <c r="I78" s="4" t="s">
        <v>12</v>
      </c>
      <c r="J78" s="4" t="s">
        <v>11</v>
      </c>
      <c r="K78" s="4" t="s">
        <v>12</v>
      </c>
      <c r="L78" s="4" t="s">
        <v>11</v>
      </c>
      <c r="M78" s="4" t="s">
        <v>12</v>
      </c>
      <c r="P78" s="183" t="s">
        <v>143</v>
      </c>
      <c r="Q78" s="120" t="s">
        <v>144</v>
      </c>
      <c r="R78" s="184" t="s">
        <v>16</v>
      </c>
      <c r="S78" s="183" t="s">
        <v>143</v>
      </c>
      <c r="T78" s="120" t="s">
        <v>144</v>
      </c>
      <c r="U78" s="184" t="s">
        <v>16</v>
      </c>
      <c r="V78" s="183" t="s">
        <v>143</v>
      </c>
      <c r="W78" s="120" t="s">
        <v>144</v>
      </c>
      <c r="X78" s="184" t="s">
        <v>16</v>
      </c>
      <c r="Y78" s="11"/>
      <c r="Z78" s="24" t="s">
        <v>13</v>
      </c>
      <c r="AA78" s="17" t="s">
        <v>28</v>
      </c>
      <c r="AB78" s="23" t="s">
        <v>29</v>
      </c>
      <c r="AC78" s="24" t="s">
        <v>13</v>
      </c>
      <c r="AD78" s="17" t="s">
        <v>28</v>
      </c>
      <c r="AE78" s="23" t="s">
        <v>29</v>
      </c>
      <c r="AF78" s="24" t="s">
        <v>13</v>
      </c>
      <c r="AG78" s="17" t="s">
        <v>28</v>
      </c>
      <c r="AH78" s="23" t="s">
        <v>29</v>
      </c>
      <c r="AJ78" s="24" t="s">
        <v>13</v>
      </c>
      <c r="AK78" s="17" t="s">
        <v>28</v>
      </c>
      <c r="AL78" s="23" t="s">
        <v>29</v>
      </c>
    </row>
    <row r="79" spans="2:39" x14ac:dyDescent="0.3">
      <c r="B79" s="133" t="s">
        <v>0</v>
      </c>
      <c r="C79" s="16">
        <v>1</v>
      </c>
      <c r="D79" s="16">
        <v>1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>
        <v>2</v>
      </c>
      <c r="K79">
        <v>2</v>
      </c>
      <c r="L79">
        <v>0</v>
      </c>
      <c r="M79">
        <v>1</v>
      </c>
      <c r="P79" s="181">
        <f>+SUM(C81:I81)</f>
        <v>4.5</v>
      </c>
      <c r="Q79" s="5">
        <f>+SUM(C84:I84)</f>
        <v>9</v>
      </c>
      <c r="R79" s="182">
        <v>0</v>
      </c>
      <c r="S79" s="181">
        <f>+J81+K81</f>
        <v>4</v>
      </c>
      <c r="T79" s="5">
        <f>+J85+K85</f>
        <v>0</v>
      </c>
      <c r="U79" s="182">
        <v>0</v>
      </c>
      <c r="V79" s="181">
        <f>+L81+M81</f>
        <v>1</v>
      </c>
      <c r="W79" s="215">
        <f>+L85+M85</f>
        <v>0</v>
      </c>
      <c r="X79" s="216">
        <v>0</v>
      </c>
      <c r="Y79" s="11"/>
      <c r="Z79" s="213">
        <f>+SUM(P79:R79)</f>
        <v>13.5</v>
      </c>
      <c r="AA79" s="26">
        <f>+Z79/(VirkarVinnustPrMan*12)</f>
        <v>7.2115383505917171E-3</v>
      </c>
      <c r="AB79" s="27">
        <f>+Z79*LaunKlst</f>
        <v>92235.073377599998</v>
      </c>
      <c r="AC79" s="213">
        <f>+SUM(S79:U79)</f>
        <v>4</v>
      </c>
      <c r="AD79" s="26">
        <f>+AC79/(VirkarVinnustPrMan*12)</f>
        <v>2.1367521038790274E-3</v>
      </c>
      <c r="AE79" s="27">
        <f>+AC79*LaunKlst</f>
        <v>27328.910630399998</v>
      </c>
      <c r="AF79" s="213">
        <f>+SUM(V79:X79)</f>
        <v>1</v>
      </c>
      <c r="AG79" s="26">
        <f>+AF79/(VirkarVinnustPrMan*12)</f>
        <v>5.3418802596975684E-4</v>
      </c>
      <c r="AH79" s="27">
        <f>+AF79*LaunKlst</f>
        <v>6832.2276575999995</v>
      </c>
      <c r="AI79" s="1"/>
      <c r="AJ79" s="213">
        <f>+Z79+AC79+AF79</f>
        <v>18.5</v>
      </c>
      <c r="AK79" s="108">
        <f>+AA79+AD79+AG79</f>
        <v>9.8824784804405017E-3</v>
      </c>
      <c r="AL79" s="27">
        <f>+AB79+AE79+AH79</f>
        <v>126396.2116656</v>
      </c>
    </row>
    <row r="80" spans="2:39" x14ac:dyDescent="0.3">
      <c r="B80" s="133" t="s">
        <v>137</v>
      </c>
      <c r="C80" s="83">
        <v>1.5</v>
      </c>
      <c r="D80" s="83">
        <v>1.5</v>
      </c>
      <c r="E80" s="83">
        <v>1.5</v>
      </c>
      <c r="F80" s="83">
        <v>1.5</v>
      </c>
      <c r="G80" s="83">
        <v>1.5</v>
      </c>
      <c r="H80" s="83">
        <v>1.5</v>
      </c>
      <c r="I80" s="83">
        <v>1</v>
      </c>
      <c r="J80" s="5">
        <v>1</v>
      </c>
      <c r="K80" s="5">
        <v>1</v>
      </c>
      <c r="L80" s="5">
        <v>1</v>
      </c>
      <c r="M80" s="5">
        <v>1</v>
      </c>
    </row>
    <row r="81" spans="2:13" x14ac:dyDescent="0.3">
      <c r="B81" s="10" t="s">
        <v>301</v>
      </c>
      <c r="C81">
        <f>+C79*C80</f>
        <v>1.5</v>
      </c>
      <c r="D81">
        <f t="shared" ref="D81:K81" si="48">+D79*D80</f>
        <v>1.5</v>
      </c>
      <c r="E81">
        <f t="shared" si="48"/>
        <v>0</v>
      </c>
      <c r="F81">
        <f t="shared" si="48"/>
        <v>1.5</v>
      </c>
      <c r="G81">
        <f t="shared" si="48"/>
        <v>0</v>
      </c>
      <c r="H81">
        <f t="shared" si="48"/>
        <v>0</v>
      </c>
      <c r="I81">
        <f t="shared" si="48"/>
        <v>0</v>
      </c>
      <c r="J81">
        <f t="shared" si="48"/>
        <v>2</v>
      </c>
      <c r="K81">
        <f t="shared" si="48"/>
        <v>2</v>
      </c>
      <c r="L81">
        <f>+L79*L80</f>
        <v>0</v>
      </c>
      <c r="M81">
        <f>+M79*M80</f>
        <v>1</v>
      </c>
    </row>
    <row r="82" spans="2:13" x14ac:dyDescent="0.3">
      <c r="B82" s="20"/>
    </row>
    <row r="83" spans="2:13" x14ac:dyDescent="0.3">
      <c r="B83" s="87" t="s">
        <v>138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2:13" x14ac:dyDescent="0.3">
      <c r="B84" s="133" t="s">
        <v>141</v>
      </c>
      <c r="C84" s="34">
        <f>+'Sérstök umsýsla'!M25</f>
        <v>2</v>
      </c>
      <c r="D84" s="34">
        <f>+'Sérstök umsýsla'!N25</f>
        <v>2</v>
      </c>
      <c r="E84" s="34">
        <f>+'Sérstök umsýsla'!O25</f>
        <v>2</v>
      </c>
      <c r="F84" s="34">
        <f>+'Sérstök umsýsla'!P25</f>
        <v>1</v>
      </c>
      <c r="G84" s="34">
        <f>+'Sérstök umsýsla'!Q25</f>
        <v>1</v>
      </c>
      <c r="H84" s="34">
        <f>+'Sérstök umsýsla'!R25</f>
        <v>1</v>
      </c>
      <c r="I84" s="34">
        <f>+'Sérstök umsýsla'!S25</f>
        <v>0</v>
      </c>
      <c r="J84" s="34">
        <f>+'Sérstök umsýsla'!T25</f>
        <v>0</v>
      </c>
      <c r="K84" s="34">
        <f>+'Sérstök umsýsla'!U25</f>
        <v>0</v>
      </c>
      <c r="L84" s="34">
        <f>+'Sérstök umsýsla'!V25</f>
        <v>0</v>
      </c>
      <c r="M84" s="34">
        <f>+'Sérstök umsýsla'!W25</f>
        <v>0</v>
      </c>
    </row>
    <row r="85" spans="2:13" x14ac:dyDescent="0.3">
      <c r="B85" s="10" t="s">
        <v>142</v>
      </c>
      <c r="C85" s="16">
        <f t="shared" ref="C85:M85" si="49">SUM(C84:C84)</f>
        <v>2</v>
      </c>
      <c r="D85" s="16">
        <f t="shared" si="49"/>
        <v>2</v>
      </c>
      <c r="E85" s="16">
        <f t="shared" si="49"/>
        <v>2</v>
      </c>
      <c r="F85" s="16">
        <f t="shared" si="49"/>
        <v>1</v>
      </c>
      <c r="G85" s="16">
        <f t="shared" si="49"/>
        <v>1</v>
      </c>
      <c r="H85" s="16">
        <f t="shared" si="49"/>
        <v>1</v>
      </c>
      <c r="I85" s="16">
        <f t="shared" si="49"/>
        <v>0</v>
      </c>
      <c r="J85" s="16">
        <f t="shared" si="49"/>
        <v>0</v>
      </c>
      <c r="K85" s="16">
        <f t="shared" si="49"/>
        <v>0</v>
      </c>
      <c r="L85" s="16">
        <f t="shared" si="49"/>
        <v>0</v>
      </c>
      <c r="M85" s="16">
        <f t="shared" si="49"/>
        <v>0</v>
      </c>
    </row>
    <row r="86" spans="2:13" x14ac:dyDescent="0.3">
      <c r="B86" s="31" t="s">
        <v>27</v>
      </c>
      <c r="C86" s="31">
        <f>+C81+C85</f>
        <v>3.5</v>
      </c>
      <c r="D86" s="31">
        <f t="shared" ref="D86:M86" si="50">+D81+D85</f>
        <v>3.5</v>
      </c>
      <c r="E86" s="31">
        <f t="shared" si="50"/>
        <v>2</v>
      </c>
      <c r="F86" s="31">
        <f t="shared" si="50"/>
        <v>2.5</v>
      </c>
      <c r="G86" s="31">
        <f t="shared" si="50"/>
        <v>1</v>
      </c>
      <c r="H86" s="31">
        <f t="shared" si="50"/>
        <v>1</v>
      </c>
      <c r="I86" s="31">
        <f t="shared" si="50"/>
        <v>0</v>
      </c>
      <c r="J86" s="31">
        <f t="shared" si="50"/>
        <v>2</v>
      </c>
      <c r="K86" s="31">
        <f t="shared" si="50"/>
        <v>2</v>
      </c>
      <c r="L86" s="31">
        <f t="shared" si="50"/>
        <v>0</v>
      </c>
      <c r="M86" s="31">
        <f t="shared" si="50"/>
        <v>1</v>
      </c>
    </row>
    <row r="91" spans="2:13" x14ac:dyDescent="0.3">
      <c r="B91" s="87"/>
    </row>
    <row r="92" spans="2:13" x14ac:dyDescent="0.3">
      <c r="B92" s="133"/>
    </row>
    <row r="93" spans="2:13" x14ac:dyDescent="0.3">
      <c r="B93" s="133"/>
    </row>
    <row r="94" spans="2:13" x14ac:dyDescent="0.3">
      <c r="B94" s="10"/>
    </row>
  </sheetData>
  <mergeCells count="70">
    <mergeCell ref="C64:I64"/>
    <mergeCell ref="C3:I3"/>
    <mergeCell ref="C15:I15"/>
    <mergeCell ref="C40:I40"/>
    <mergeCell ref="C52:I52"/>
    <mergeCell ref="C27:I27"/>
    <mergeCell ref="AJ3:AL3"/>
    <mergeCell ref="L3:M3"/>
    <mergeCell ref="AF3:AH3"/>
    <mergeCell ref="AF15:AH15"/>
    <mergeCell ref="J3:K3"/>
    <mergeCell ref="Z3:AB3"/>
    <mergeCell ref="AC3:AE3"/>
    <mergeCell ref="P3:R3"/>
    <mergeCell ref="S3:U3"/>
    <mergeCell ref="V3:X3"/>
    <mergeCell ref="S15:U15"/>
    <mergeCell ref="V15:X15"/>
    <mergeCell ref="AJ15:AL15"/>
    <mergeCell ref="J15:K15"/>
    <mergeCell ref="AC15:AE15"/>
    <mergeCell ref="Z15:AB15"/>
    <mergeCell ref="J27:K27"/>
    <mergeCell ref="L27:M27"/>
    <mergeCell ref="P27:R27"/>
    <mergeCell ref="S27:U27"/>
    <mergeCell ref="V27:X27"/>
    <mergeCell ref="L15:M15"/>
    <mergeCell ref="P15:R15"/>
    <mergeCell ref="P40:R40"/>
    <mergeCell ref="S40:U40"/>
    <mergeCell ref="V40:X40"/>
    <mergeCell ref="J64:K64"/>
    <mergeCell ref="L64:M64"/>
    <mergeCell ref="P64:R64"/>
    <mergeCell ref="S64:U64"/>
    <mergeCell ref="V64:X64"/>
    <mergeCell ref="J40:K40"/>
    <mergeCell ref="J52:K52"/>
    <mergeCell ref="L52:M52"/>
    <mergeCell ref="L40:M40"/>
    <mergeCell ref="P52:R52"/>
    <mergeCell ref="S52:U52"/>
    <mergeCell ref="V52:X52"/>
    <mergeCell ref="AC64:AE64"/>
    <mergeCell ref="AF64:AH64"/>
    <mergeCell ref="AJ64:AL64"/>
    <mergeCell ref="Z64:AB64"/>
    <mergeCell ref="Z27:AB27"/>
    <mergeCell ref="AC27:AE27"/>
    <mergeCell ref="AF27:AH27"/>
    <mergeCell ref="AJ27:AL27"/>
    <mergeCell ref="AF52:AH52"/>
    <mergeCell ref="Z40:AB40"/>
    <mergeCell ref="AC40:AE40"/>
    <mergeCell ref="AJ40:AL40"/>
    <mergeCell ref="AJ52:AL52"/>
    <mergeCell ref="Z52:AB52"/>
    <mergeCell ref="AC52:AE52"/>
    <mergeCell ref="AF40:AH40"/>
    <mergeCell ref="Z77:AB77"/>
    <mergeCell ref="AC77:AE77"/>
    <mergeCell ref="AF77:AH77"/>
    <mergeCell ref="AJ77:AL77"/>
    <mergeCell ref="C77:I77"/>
    <mergeCell ref="J77:K77"/>
    <mergeCell ref="L77:M77"/>
    <mergeCell ref="P77:R77"/>
    <mergeCell ref="S77:U77"/>
    <mergeCell ref="V77:X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2DC19-9A27-4D0A-A0AD-86F44DA306A3}">
  <dimension ref="B2:O13"/>
  <sheetViews>
    <sheetView workbookViewId="0">
      <selection activeCell="C5" sqref="C5"/>
    </sheetView>
  </sheetViews>
  <sheetFormatPr defaultRowHeight="14.4" x14ac:dyDescent="0.3"/>
  <cols>
    <col min="1" max="1" width="4.21875" customWidth="1"/>
    <col min="2" max="2" width="34.44140625" customWidth="1"/>
    <col min="3" max="13" width="4.5546875" customWidth="1"/>
    <col min="14" max="14" width="5.6640625" customWidth="1"/>
    <col min="15" max="15" width="7.88671875" customWidth="1"/>
  </cols>
  <sheetData>
    <row r="2" spans="2:15" x14ac:dyDescent="0.3">
      <c r="B2" s="200" t="s">
        <v>165</v>
      </c>
      <c r="C2" s="335" t="s">
        <v>3</v>
      </c>
      <c r="D2" s="336"/>
      <c r="E2" s="337"/>
      <c r="F2" s="335" t="s">
        <v>4</v>
      </c>
      <c r="G2" s="336"/>
      <c r="H2" s="337"/>
      <c r="I2" s="335" t="s">
        <v>113</v>
      </c>
      <c r="J2" s="336"/>
      <c r="K2" s="337"/>
      <c r="L2" s="335" t="s">
        <v>114</v>
      </c>
      <c r="M2" s="336"/>
      <c r="N2" s="337"/>
      <c r="O2" s="203" t="s">
        <v>166</v>
      </c>
    </row>
    <row r="3" spans="2:15" ht="78" x14ac:dyDescent="0.3">
      <c r="B3" s="185" t="s">
        <v>296</v>
      </c>
      <c r="C3" s="197" t="s">
        <v>143</v>
      </c>
      <c r="D3" s="198" t="s">
        <v>144</v>
      </c>
      <c r="E3" s="199" t="s">
        <v>16</v>
      </c>
      <c r="F3" s="197" t="s">
        <v>143</v>
      </c>
      <c r="G3" s="198" t="s">
        <v>144</v>
      </c>
      <c r="H3" s="199" t="s">
        <v>16</v>
      </c>
      <c r="I3" s="197" t="s">
        <v>143</v>
      </c>
      <c r="J3" s="198" t="s">
        <v>144</v>
      </c>
      <c r="K3" s="199" t="s">
        <v>16</v>
      </c>
      <c r="L3" s="197" t="s">
        <v>143</v>
      </c>
      <c r="M3" s="198" t="s">
        <v>144</v>
      </c>
      <c r="N3" s="199" t="s">
        <v>16</v>
      </c>
      <c r="O3" s="198" t="s">
        <v>167</v>
      </c>
    </row>
    <row r="4" spans="2:15" ht="18.600000000000001" customHeight="1" x14ac:dyDescent="0.3">
      <c r="B4" s="2" t="s">
        <v>41</v>
      </c>
      <c r="C4" s="189"/>
      <c r="D4" s="190"/>
      <c r="E4" s="193"/>
      <c r="F4" s="189"/>
      <c r="G4" s="190"/>
      <c r="H4" s="193"/>
      <c r="I4" s="189"/>
      <c r="J4" s="190"/>
      <c r="K4" s="193"/>
      <c r="L4" s="17"/>
      <c r="M4" s="17"/>
      <c r="N4" s="193"/>
      <c r="O4" s="201"/>
    </row>
    <row r="5" spans="2:15" x14ac:dyDescent="0.3">
      <c r="B5" s="38" t="str">
        <f>+'Kostn.líkan - Sundurliðun'!O5</f>
        <v>Einst. án barns - Alþjóðleg vernd</v>
      </c>
      <c r="C5" s="191">
        <f>+'Kostn.líkan - Sundurliðun'!P5</f>
        <v>33</v>
      </c>
      <c r="D5" s="158">
        <f>+'Kostn.líkan - Sundurliðun'!Q5</f>
        <v>17</v>
      </c>
      <c r="E5" s="196">
        <f>+'Kostn.líkan - Sundurliðun'!R5</f>
        <v>21</v>
      </c>
      <c r="F5" s="195">
        <f>+'Kostn.líkan - Sundurliðun'!S5</f>
        <v>27</v>
      </c>
      <c r="G5" s="158">
        <f>+'Kostn.líkan - Sundurliðun'!T5</f>
        <v>0</v>
      </c>
      <c r="H5" s="196">
        <f>+'Kostn.líkan - Sundurliðun'!U5</f>
        <v>0</v>
      </c>
      <c r="I5" s="195">
        <f>+'Kostn.líkan - Sundurliðun'!V5</f>
        <v>18</v>
      </c>
      <c r="J5" s="158">
        <f>+'Kostn.líkan - Sundurliðun'!W5</f>
        <v>0</v>
      </c>
      <c r="K5" s="196">
        <f>+'Kostn.líkan - Sundurliðun'!X5</f>
        <v>0</v>
      </c>
      <c r="L5" s="158">
        <f t="shared" ref="L5:N7" si="0">+C5+F5+I5</f>
        <v>78</v>
      </c>
      <c r="M5" s="158">
        <f t="shared" si="0"/>
        <v>17</v>
      </c>
      <c r="N5" s="196">
        <f t="shared" si="0"/>
        <v>21</v>
      </c>
      <c r="O5" s="202">
        <f>+SUM(L5:N5)</f>
        <v>116</v>
      </c>
    </row>
    <row r="6" spans="2:15" x14ac:dyDescent="0.3">
      <c r="B6" s="38" t="str">
        <f>+'Kostn.líkan - Sundurliðun'!O17</f>
        <v>Hjón án barns - Alþjóðleg vernd</v>
      </c>
      <c r="C6" s="191">
        <f>+'Kostn.líkan - Sundurliðun'!P17</f>
        <v>41.499999000000003</v>
      </c>
      <c r="D6" s="158">
        <f>+'Kostn.líkan - Sundurliðun'!Q17</f>
        <v>17</v>
      </c>
      <c r="E6" s="196">
        <f>+'Kostn.líkan - Sundurliðun'!R17</f>
        <v>21</v>
      </c>
      <c r="F6" s="195">
        <f>+'Kostn.líkan - Sundurliðun'!S17</f>
        <v>31.5</v>
      </c>
      <c r="G6" s="158">
        <f>+'Kostn.líkan - Sundurliðun'!T17</f>
        <v>0</v>
      </c>
      <c r="H6" s="196">
        <f>+'Kostn.líkan - Sundurliðun'!U17</f>
        <v>0</v>
      </c>
      <c r="I6" s="195">
        <f>+'Kostn.líkan - Sundurliðun'!V17</f>
        <v>18</v>
      </c>
      <c r="J6" s="158">
        <f>+'Kostn.líkan - Sundurliðun'!W17</f>
        <v>0</v>
      </c>
      <c r="K6" s="196">
        <f>+'Kostn.líkan - Sundurliðun'!X17</f>
        <v>0</v>
      </c>
      <c r="L6" s="158">
        <f t="shared" si="0"/>
        <v>90.999999000000003</v>
      </c>
      <c r="M6" s="158">
        <f t="shared" si="0"/>
        <v>17</v>
      </c>
      <c r="N6" s="196">
        <f t="shared" si="0"/>
        <v>21</v>
      </c>
      <c r="O6" s="202">
        <f>+SUM(L6:N6)</f>
        <v>128.999999</v>
      </c>
    </row>
    <row r="7" spans="2:15" x14ac:dyDescent="0.3">
      <c r="B7" s="38" t="str">
        <f>+'Kostn.líkan - Sundurliðun'!B27</f>
        <v>Pr. barn - Alþjóðleg vernd</v>
      </c>
      <c r="C7" s="191">
        <f>+'Kostn.líkan - Sundurliðun'!P29</f>
        <v>3</v>
      </c>
      <c r="D7" s="158">
        <f>+'Kostn.líkan - Sundurliðun'!Q29</f>
        <v>6</v>
      </c>
      <c r="E7" s="196">
        <f>+'Kostn.líkan - Sundurliðun'!R29</f>
        <v>0</v>
      </c>
      <c r="F7" s="195">
        <f>+'Kostn.líkan - Sundurliðun'!S29</f>
        <v>3</v>
      </c>
      <c r="G7" s="158">
        <f>+'Kostn.líkan - Sundurliðun'!T29</f>
        <v>0</v>
      </c>
      <c r="H7" s="196">
        <f>+'Kostn.líkan - Sundurliðun'!U29</f>
        <v>0</v>
      </c>
      <c r="I7" s="195">
        <f>+'Kostn.líkan - Sundurliðun'!V29</f>
        <v>1</v>
      </c>
      <c r="J7" s="158">
        <f>+'Kostn.líkan - Sundurliðun'!W29</f>
        <v>0</v>
      </c>
      <c r="K7" s="196">
        <f>+'Kostn.líkan - Sundurliðun'!X29</f>
        <v>0</v>
      </c>
      <c r="L7" s="158">
        <f t="shared" si="0"/>
        <v>7</v>
      </c>
      <c r="M7" s="158">
        <f t="shared" si="0"/>
        <v>6</v>
      </c>
      <c r="N7" s="196">
        <f t="shared" si="0"/>
        <v>0</v>
      </c>
      <c r="O7" s="202">
        <f>SUM(L7:N7)</f>
        <v>13</v>
      </c>
    </row>
    <row r="8" spans="2:15" ht="18.600000000000001" customHeight="1" x14ac:dyDescent="0.3">
      <c r="B8" s="2" t="s">
        <v>42</v>
      </c>
      <c r="C8" s="192"/>
      <c r="D8" s="92"/>
      <c r="E8" s="194"/>
      <c r="F8" s="192"/>
      <c r="G8" s="92"/>
      <c r="H8" s="194"/>
      <c r="I8" s="192"/>
      <c r="J8" s="92"/>
      <c r="K8" s="194"/>
      <c r="L8" s="158"/>
      <c r="M8" s="158"/>
      <c r="N8" s="196"/>
      <c r="O8" s="202"/>
    </row>
    <row r="9" spans="2:15" x14ac:dyDescent="0.3">
      <c r="B9" s="38" t="str">
        <f>+'Kostn.líkan - Sundurliðun'!O42</f>
        <v>Einst. án barns - Kvótaflóttafólk</v>
      </c>
      <c r="C9" s="191">
        <f>+'Kostn.líkan - Sundurliðun'!P42</f>
        <v>33</v>
      </c>
      <c r="D9" s="158">
        <f>+'Kostn.líkan - Sundurliðun'!Q42</f>
        <v>36</v>
      </c>
      <c r="E9" s="196">
        <f>+'Kostn.líkan - Sundurliðun'!R42</f>
        <v>21</v>
      </c>
      <c r="F9" s="195">
        <f>+'Kostn.líkan - Sundurliðun'!S42</f>
        <v>30</v>
      </c>
      <c r="G9" s="158">
        <f>+'Kostn.líkan - Sundurliðun'!T42</f>
        <v>0</v>
      </c>
      <c r="H9" s="196">
        <f>+'Kostn.líkan - Sundurliðun'!U42</f>
        <v>0</v>
      </c>
      <c r="I9" s="195">
        <f>+'Kostn.líkan - Sundurliðun'!V42</f>
        <v>18</v>
      </c>
      <c r="J9" s="158">
        <f>+'Kostn.líkan - Sundurliðun'!W42</f>
        <v>0</v>
      </c>
      <c r="K9" s="196">
        <f>+'Kostn.líkan - Sundurliðun'!X42</f>
        <v>0</v>
      </c>
      <c r="L9" s="158">
        <f t="shared" ref="L9:N11" si="1">+C9+F9+I9</f>
        <v>81</v>
      </c>
      <c r="M9" s="158">
        <f t="shared" si="1"/>
        <v>36</v>
      </c>
      <c r="N9" s="196">
        <f t="shared" si="1"/>
        <v>21</v>
      </c>
      <c r="O9" s="202">
        <f>+SUM(L9:N9)</f>
        <v>138</v>
      </c>
    </row>
    <row r="10" spans="2:15" x14ac:dyDescent="0.3">
      <c r="B10" s="38" t="str">
        <f>+'Kostn.líkan - Sundurliðun'!O54</f>
        <v>Hjón án barns - Kvótaflóttafólk</v>
      </c>
      <c r="C10" s="191">
        <f>+'Kostn.líkan - Sundurliðun'!P54</f>
        <v>41.499999000000003</v>
      </c>
      <c r="D10" s="158">
        <f>+'Kostn.líkan - Sundurliðun'!Q54</f>
        <v>36</v>
      </c>
      <c r="E10" s="196">
        <f>+'Kostn.líkan - Sundurliðun'!R54</f>
        <v>21</v>
      </c>
      <c r="F10" s="195">
        <f>+'Kostn.líkan - Sundurliðun'!S54</f>
        <v>34.5</v>
      </c>
      <c r="G10" s="158">
        <f>+'Kostn.líkan - Sundurliðun'!T54</f>
        <v>0</v>
      </c>
      <c r="H10" s="196">
        <f>+'Kostn.líkan - Sundurliðun'!U54</f>
        <v>0</v>
      </c>
      <c r="I10" s="195">
        <f>+'Kostn.líkan - Sundurliðun'!V54</f>
        <v>18</v>
      </c>
      <c r="J10" s="158">
        <f>+'Kostn.líkan - Sundurliðun'!W54</f>
        <v>0</v>
      </c>
      <c r="K10" s="196">
        <f>+'Kostn.líkan - Sundurliðun'!X54</f>
        <v>0</v>
      </c>
      <c r="L10" s="158">
        <f t="shared" si="1"/>
        <v>93.999999000000003</v>
      </c>
      <c r="M10" s="158">
        <f t="shared" si="1"/>
        <v>36</v>
      </c>
      <c r="N10" s="196">
        <f t="shared" si="1"/>
        <v>21</v>
      </c>
      <c r="O10" s="202">
        <f>+SUM(L10:N10)</f>
        <v>150.999999</v>
      </c>
    </row>
    <row r="11" spans="2:15" x14ac:dyDescent="0.3">
      <c r="B11" s="217" t="str">
        <f>+'Kostn.líkan - Sundurliðun'!B64</f>
        <v>Pr. barn - Kvótaflóttafólk</v>
      </c>
      <c r="C11" s="204">
        <f>+'Kostn.líkan - Sundurliðun'!P66</f>
        <v>4</v>
      </c>
      <c r="D11" s="205">
        <f>+'Kostn.líkan - Sundurliðun'!Q66</f>
        <v>9</v>
      </c>
      <c r="E11" s="206">
        <f>+'Kostn.líkan - Sundurliðun'!R66</f>
        <v>0</v>
      </c>
      <c r="F11" s="207">
        <f>+'Kostn.líkan - Sundurliðun'!S66</f>
        <v>3</v>
      </c>
      <c r="G11" s="205">
        <f>+'Kostn.líkan - Sundurliðun'!T66</f>
        <v>0</v>
      </c>
      <c r="H11" s="206">
        <f>+'Kostn.líkan - Sundurliðun'!U66</f>
        <v>0</v>
      </c>
      <c r="I11" s="207">
        <f>+'Kostn.líkan - Sundurliðun'!V66</f>
        <v>1</v>
      </c>
      <c r="J11" s="205">
        <f>+'Kostn.líkan - Sundurliðun'!W66</f>
        <v>0</v>
      </c>
      <c r="K11" s="206">
        <f>+'Kostn.líkan - Sundurliðun'!X66</f>
        <v>0</v>
      </c>
      <c r="L11" s="207">
        <f t="shared" si="1"/>
        <v>8</v>
      </c>
      <c r="M11" s="205">
        <f t="shared" si="1"/>
        <v>9</v>
      </c>
      <c r="N11" s="206">
        <f t="shared" si="1"/>
        <v>0</v>
      </c>
      <c r="O11" s="208">
        <f>SUM(L11:N11)</f>
        <v>17</v>
      </c>
    </row>
    <row r="12" spans="2:15" s="16" customFormat="1" x14ac:dyDescent="0.3"/>
    <row r="13" spans="2:15" s="16" customFormat="1" x14ac:dyDescent="0.3"/>
  </sheetData>
  <mergeCells count="4">
    <mergeCell ref="C2:E2"/>
    <mergeCell ref="F2:H2"/>
    <mergeCell ref="I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32"/>
  <sheetViews>
    <sheetView tabSelected="1" zoomScaleNormal="100" workbookViewId="0">
      <selection activeCell="V16" sqref="V16"/>
    </sheetView>
  </sheetViews>
  <sheetFormatPr defaultRowHeight="14.4" x14ac:dyDescent="0.3"/>
  <cols>
    <col min="1" max="1" width="2.5546875" customWidth="1"/>
    <col min="2" max="2" width="33.77734375" customWidth="1"/>
    <col min="3" max="5" width="7.88671875" customWidth="1"/>
    <col min="6" max="6" width="7.5546875" customWidth="1"/>
    <col min="7" max="7" width="2.5546875" customWidth="1"/>
    <col min="8" max="9" width="7.5546875" customWidth="1"/>
    <col min="10" max="10" width="10.109375" customWidth="1"/>
    <col min="11" max="11" width="7.5546875" customWidth="1"/>
    <col min="12" max="12" width="11.21875" customWidth="1"/>
    <col min="13" max="16" width="7.5546875" customWidth="1"/>
    <col min="17" max="17" width="3.109375" style="16" customWidth="1"/>
    <col min="18" max="19" width="8" customWidth="1"/>
    <col min="20" max="20" width="9.109375" customWidth="1"/>
    <col min="22" max="22" width="11" bestFit="1" customWidth="1"/>
  </cols>
  <sheetData>
    <row r="2" spans="1:21" x14ac:dyDescent="0.3">
      <c r="B2" s="113" t="s">
        <v>164</v>
      </c>
      <c r="C2" s="114"/>
      <c r="D2" s="115"/>
      <c r="E2" s="115"/>
      <c r="F2" s="116"/>
      <c r="G2" s="11"/>
      <c r="H2" s="338" t="s">
        <v>3</v>
      </c>
      <c r="I2" s="339"/>
      <c r="J2" s="340"/>
      <c r="K2" s="338" t="s">
        <v>4</v>
      </c>
      <c r="L2" s="339"/>
      <c r="M2" s="340"/>
      <c r="N2" s="338" t="s">
        <v>113</v>
      </c>
      <c r="O2" s="339"/>
      <c r="P2" s="340"/>
      <c r="Q2" s="19"/>
      <c r="R2" s="338" t="s">
        <v>114</v>
      </c>
      <c r="S2" s="339"/>
      <c r="T2" s="340"/>
    </row>
    <row r="3" spans="1:21" x14ac:dyDescent="0.3">
      <c r="B3" s="117" t="s">
        <v>296</v>
      </c>
      <c r="C3" s="223" t="s">
        <v>3</v>
      </c>
      <c r="D3" s="118" t="s">
        <v>4</v>
      </c>
      <c r="E3" s="118" t="s">
        <v>113</v>
      </c>
      <c r="F3" s="224" t="s">
        <v>35</v>
      </c>
      <c r="G3" s="11"/>
      <c r="H3" s="141" t="s">
        <v>13</v>
      </c>
      <c r="I3" s="118" t="s">
        <v>28</v>
      </c>
      <c r="J3" s="142" t="s">
        <v>29</v>
      </c>
      <c r="K3" s="141" t="s">
        <v>13</v>
      </c>
      <c r="L3" s="118" t="s">
        <v>28</v>
      </c>
      <c r="M3" s="142" t="s">
        <v>29</v>
      </c>
      <c r="N3" s="223" t="s">
        <v>13</v>
      </c>
      <c r="O3" s="118" t="s">
        <v>28</v>
      </c>
      <c r="P3" s="224" t="s">
        <v>29</v>
      </c>
      <c r="Q3" s="19"/>
      <c r="R3" s="223" t="s">
        <v>13</v>
      </c>
      <c r="S3" s="118" t="s">
        <v>28</v>
      </c>
      <c r="T3" s="224" t="s">
        <v>29</v>
      </c>
    </row>
    <row r="4" spans="1:21" ht="21" customHeight="1" x14ac:dyDescent="0.3">
      <c r="B4" s="36" t="s">
        <v>41</v>
      </c>
      <c r="C4" s="110"/>
      <c r="D4" s="110"/>
      <c r="E4" s="110"/>
      <c r="F4" s="110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1" x14ac:dyDescent="0.3">
      <c r="B5" s="38" t="str">
        <f>+'Kostn.líkan - Sundurliðun'!B3</f>
        <v>Einst. án barns - Alþjóðleg vernd</v>
      </c>
      <c r="C5" s="154">
        <v>1</v>
      </c>
      <c r="D5" s="154">
        <v>1</v>
      </c>
      <c r="E5" s="154">
        <v>1</v>
      </c>
      <c r="F5" s="154">
        <v>1</v>
      </c>
      <c r="G5" s="38"/>
      <c r="H5" s="158">
        <f>+'Kostn.líkan - Sundurliðun'!Z5</f>
        <v>71</v>
      </c>
      <c r="I5" s="159">
        <f>+'Kostn.líkan - Sundurliðun'!AA5</f>
        <v>3.7927349843852737E-2</v>
      </c>
      <c r="J5" s="187">
        <f>+'Kostn.líkan - Sundurliðun'!AB5</f>
        <v>485088.16368959995</v>
      </c>
      <c r="K5" s="158">
        <f>+'Kostn.líkan - Sundurliðun'!AC5</f>
        <v>27</v>
      </c>
      <c r="L5" s="159">
        <f>+'Kostn.líkan - Sundurliðun'!AD5</f>
        <v>1.4423076701183434E-2</v>
      </c>
      <c r="M5" s="187">
        <f>+'Kostn.líkan - Sundurliðun'!AE5</f>
        <v>184470.1467552</v>
      </c>
      <c r="N5" s="158">
        <f>+'Kostn.líkan - Sundurliðun'!AF5</f>
        <v>18</v>
      </c>
      <c r="O5" s="159">
        <f>+'Kostn.líkan - Sundurliðun'!AG5</f>
        <v>9.6153844674556222E-3</v>
      </c>
      <c r="P5" s="187">
        <f>+'Kostn.líkan - Sundurliðun'!AH5</f>
        <v>122980.09783679999</v>
      </c>
      <c r="Q5" s="229"/>
      <c r="R5" s="158">
        <f>+'Kostn.líkan - Sundurliðun'!AJ5</f>
        <v>116</v>
      </c>
      <c r="S5" s="159">
        <f>+'Kostn.líkan - Sundurliðun'!AK5</f>
        <v>6.1965811012491795E-2</v>
      </c>
      <c r="T5" s="160">
        <f>+'Kostn.líkan - Sundurliðun'!AL5</f>
        <v>792538.40828159999</v>
      </c>
    </row>
    <row r="6" spans="1:21" x14ac:dyDescent="0.3">
      <c r="B6" s="38" t="str">
        <f>+'Kostn.líkan - Sundurliðun'!B15</f>
        <v>Hjón án barns - Alþjóðleg vernd</v>
      </c>
      <c r="C6" s="154">
        <f>+J6/$J$5</f>
        <v>1.1197182957746479</v>
      </c>
      <c r="D6" s="154">
        <f>+M6/$M$5</f>
        <v>1.1666666666666665</v>
      </c>
      <c r="E6" s="154">
        <f>+P6/$P$5</f>
        <v>1</v>
      </c>
      <c r="F6" s="154">
        <f>+T6/$T$5</f>
        <v>1.1120689568965516</v>
      </c>
      <c r="G6" s="209"/>
      <c r="H6" s="158">
        <f>+'Kostn.líkan - Sundurliðun'!Z17</f>
        <v>79.499999000000003</v>
      </c>
      <c r="I6" s="159">
        <f>+'Kostn.líkan - Sundurliðun'!AA17</f>
        <v>4.246794753040764E-2</v>
      </c>
      <c r="J6" s="187">
        <f>+'Kostn.líkan - Sundurliðun'!AB17</f>
        <v>543162.0919469723</v>
      </c>
      <c r="K6" s="158">
        <f>+'Kostn.líkan - Sundurliðun'!AC17</f>
        <v>31.5</v>
      </c>
      <c r="L6" s="159">
        <f>+'Kostn.líkan - Sundurliðun'!AD17</f>
        <v>1.6826922818047339E-2</v>
      </c>
      <c r="M6" s="187">
        <f>+'Kostn.líkan - Sundurliðun'!AE17</f>
        <v>215215.17121439998</v>
      </c>
      <c r="N6" s="158">
        <f>+'Kostn.líkan - Sundurliðun'!AF17</f>
        <v>18</v>
      </c>
      <c r="O6" s="159">
        <f>+'Kostn.líkan - Sundurliðun'!AG17</f>
        <v>9.6153844674556222E-3</v>
      </c>
      <c r="P6" s="187">
        <f>+'Kostn.líkan - Sundurliðun'!AH17</f>
        <v>122980.09783679999</v>
      </c>
      <c r="Q6" s="229"/>
      <c r="R6" s="158">
        <f>+'Kostn.líkan - Sundurliðun'!AJ17</f>
        <v>128.999999</v>
      </c>
      <c r="S6" s="159">
        <f>+'Kostn.líkan - Sundurliðun'!AK17</f>
        <v>6.8910254815910607E-2</v>
      </c>
      <c r="T6" s="160">
        <f>+'Kostn.líkan - Sundurliðun'!AL17</f>
        <v>881357.36099817231</v>
      </c>
    </row>
    <row r="7" spans="1:21" x14ac:dyDescent="0.3">
      <c r="B7" s="38" t="str">
        <f>+'Kostn.líkan - Sundurliðun'!B27</f>
        <v>Pr. barn - Alþjóðleg vernd</v>
      </c>
      <c r="C7" s="154">
        <f t="shared" ref="C7:C16" si="0">+J7/$J$5</f>
        <v>0.12676056338028169</v>
      </c>
      <c r="D7" s="154">
        <f t="shared" ref="D7:D16" si="1">+M7/$M$5</f>
        <v>0.1111111111111111</v>
      </c>
      <c r="E7" s="154">
        <f t="shared" ref="E7:E10" si="2">+P7/$P$5</f>
        <v>5.5555555555555552E-2</v>
      </c>
      <c r="F7" s="154">
        <f t="shared" ref="F7:F16" si="3">+T7/$T$5</f>
        <v>0.11206896551724137</v>
      </c>
      <c r="G7" s="209"/>
      <c r="H7" s="158">
        <f>+'Kostn.líkan - Sundurliðun'!Z29</f>
        <v>9</v>
      </c>
      <c r="I7" s="159">
        <f>+'Kostn.líkan - Sundurliðun'!AA29</f>
        <v>4.8076922337278111E-3</v>
      </c>
      <c r="J7" s="187">
        <f>+'Kostn.líkan - Sundurliðun'!AB29</f>
        <v>61490.048918399996</v>
      </c>
      <c r="K7" s="158">
        <f>+'Kostn.líkan - Sundurliðun'!AC29</f>
        <v>3</v>
      </c>
      <c r="L7" s="159">
        <f>+'Kostn.líkan - Sundurliðun'!AD29</f>
        <v>1.6025640779092705E-3</v>
      </c>
      <c r="M7" s="187">
        <f>+'Kostn.líkan - Sundurliðun'!AE29</f>
        <v>20496.682972799998</v>
      </c>
      <c r="N7" s="158">
        <f>+'Kostn.líkan - Sundurliðun'!AF29</f>
        <v>1</v>
      </c>
      <c r="O7" s="159">
        <f>+'Kostn.líkan - Sundurliðun'!AG29</f>
        <v>5.3418802596975684E-4</v>
      </c>
      <c r="P7" s="187">
        <f>+'Kostn.líkan - Sundurliðun'!AH29</f>
        <v>6832.2276575999995</v>
      </c>
      <c r="Q7" s="229"/>
      <c r="R7" s="158">
        <f>+'Kostn.líkan - Sundurliðun'!AJ29</f>
        <v>13</v>
      </c>
      <c r="S7" s="159">
        <f>+'Kostn.líkan - Sundurliðun'!AK29</f>
        <v>6.9444443376068393E-3</v>
      </c>
      <c r="T7" s="160">
        <f>+'Kostn.líkan - Sundurliðun'!AL29</f>
        <v>88818.95954879999</v>
      </c>
    </row>
    <row r="8" spans="1:21" ht="21" customHeight="1" x14ac:dyDescent="0.3">
      <c r="B8" s="36" t="s">
        <v>42</v>
      </c>
      <c r="C8" s="91"/>
      <c r="D8" s="91"/>
      <c r="E8" s="91"/>
      <c r="F8" s="91"/>
      <c r="H8" s="22"/>
      <c r="I8" s="92"/>
      <c r="J8" s="188"/>
      <c r="K8" s="22"/>
      <c r="L8" s="92"/>
      <c r="M8" s="188"/>
      <c r="N8" s="22"/>
      <c r="O8" s="92"/>
      <c r="P8" s="188"/>
      <c r="Q8" s="230"/>
      <c r="R8" s="22"/>
      <c r="S8" s="92"/>
      <c r="T8" s="161"/>
    </row>
    <row r="9" spans="1:21" x14ac:dyDescent="0.3">
      <c r="B9" s="38" t="str">
        <f>+'Kostn.líkan - Sundurliðun'!B40</f>
        <v>Einst. án barns - Kvótaflóttafólk</v>
      </c>
      <c r="C9" s="154">
        <f>+J9/$J$5</f>
        <v>1.267605633802817</v>
      </c>
      <c r="D9" s="154">
        <f t="shared" si="1"/>
        <v>1.1111111111111109</v>
      </c>
      <c r="E9" s="154">
        <f t="shared" si="2"/>
        <v>1</v>
      </c>
      <c r="F9" s="154">
        <f t="shared" si="3"/>
        <v>1.1896551724137931</v>
      </c>
      <c r="G9" s="209"/>
      <c r="H9" s="158">
        <f>+'Kostn.líkan - Sundurliðun'!Z42</f>
        <v>90</v>
      </c>
      <c r="I9" s="159">
        <f>+'Kostn.líkan - Sundurliðun'!AA42</f>
        <v>4.8076922337278116E-2</v>
      </c>
      <c r="J9" s="187">
        <f>+'Kostn.líkan - Sundurliðun'!AB42</f>
        <v>614900.48918399995</v>
      </c>
      <c r="K9" s="158">
        <f>+'Kostn.líkan - Sundurliðun'!AC42</f>
        <v>30</v>
      </c>
      <c r="L9" s="159">
        <f>+'Kostn.líkan - Sundurliðun'!AD42</f>
        <v>1.6025640779092704E-2</v>
      </c>
      <c r="M9" s="187">
        <f>+'Kostn.líkan - Sundurliðun'!AE42</f>
        <v>204966.82972799998</v>
      </c>
      <c r="N9" s="158">
        <f>+'Kostn.líkan - Sundurliðun'!AF42</f>
        <v>18</v>
      </c>
      <c r="O9" s="159">
        <f>+'Kostn.líkan - Sundurliðun'!AG42</f>
        <v>9.6153844674556222E-3</v>
      </c>
      <c r="P9" s="187">
        <f>+'Kostn.líkan - Sundurliðun'!AH42</f>
        <v>122980.09783679999</v>
      </c>
      <c r="Q9" s="229"/>
      <c r="R9" s="158">
        <f>+'Kostn.líkan - Sundurliðun'!AJ42</f>
        <v>138</v>
      </c>
      <c r="S9" s="159">
        <f>+'Kostn.líkan - Sundurliðun'!AK42</f>
        <v>7.3717947583826438E-2</v>
      </c>
      <c r="T9" s="160">
        <f>+'Kostn.líkan - Sundurliðun'!AL42</f>
        <v>942847.41674879997</v>
      </c>
    </row>
    <row r="10" spans="1:21" x14ac:dyDescent="0.3">
      <c r="B10" s="38" t="str">
        <f>+'Kostn.líkan - Sundurliðun'!B52</f>
        <v>Hjón án barns - Kvótaflóttafólk</v>
      </c>
      <c r="C10" s="154">
        <f t="shared" si="0"/>
        <v>1.3873239295774649</v>
      </c>
      <c r="D10" s="154">
        <f t="shared" si="1"/>
        <v>1.2777777777777777</v>
      </c>
      <c r="E10" s="154">
        <f t="shared" si="2"/>
        <v>1</v>
      </c>
      <c r="F10" s="154">
        <f t="shared" si="3"/>
        <v>1.3017241293103448</v>
      </c>
      <c r="G10" s="209"/>
      <c r="H10" s="158">
        <f>+'Kostn.líkan - Sundurliðun'!Z54</f>
        <v>98.499999000000003</v>
      </c>
      <c r="I10" s="159">
        <f>+'Kostn.líkan - Sundurliðun'!AA54</f>
        <v>5.2617520023833027E-2</v>
      </c>
      <c r="J10" s="187">
        <f>+'Kostn.líkan - Sundurliðun'!AB54</f>
        <v>672974.41744137229</v>
      </c>
      <c r="K10" s="158">
        <f>+'Kostn.líkan - Sundurliðun'!AC54</f>
        <v>34.5</v>
      </c>
      <c r="L10" s="159">
        <f>+'Kostn.líkan - Sundurliðun'!AD54</f>
        <v>1.8429486895956609E-2</v>
      </c>
      <c r="M10" s="187">
        <f>+'Kostn.líkan - Sundurliðun'!AE54</f>
        <v>235711.85418719999</v>
      </c>
      <c r="N10" s="158">
        <f>+'Kostn.líkan - Sundurliðun'!AF54</f>
        <v>18</v>
      </c>
      <c r="O10" s="159">
        <f>+'Kostn.líkan - Sundurliðun'!AG54</f>
        <v>9.6153844674556222E-3</v>
      </c>
      <c r="P10" s="187">
        <f>+'Kostn.líkan - Sundurliðun'!AH54</f>
        <v>122980.09783679999</v>
      </c>
      <c r="Q10" s="229"/>
      <c r="R10" s="158">
        <f>+'Kostn.líkan - Sundurliðun'!AJ54</f>
        <v>150.999999</v>
      </c>
      <c r="S10" s="159">
        <f>+'Kostn.líkan - Sundurliðun'!AK54</f>
        <v>8.066239138724525E-2</v>
      </c>
      <c r="T10" s="160">
        <f>+'Kostn.líkan - Sundurliðun'!AL54</f>
        <v>1031666.3694653723</v>
      </c>
    </row>
    <row r="11" spans="1:21" x14ac:dyDescent="0.3">
      <c r="B11" s="38" t="str">
        <f>+'Kostn.líkan - Sundurliðun'!B64</f>
        <v>Pr. barn - Kvótaflóttafólk</v>
      </c>
      <c r="C11" s="154">
        <f t="shared" ref="C11" si="4">+J11/$J$5</f>
        <v>0.18309859154929578</v>
      </c>
      <c r="D11" s="154">
        <f>+M11/$M$5</f>
        <v>0.1111111111111111</v>
      </c>
      <c r="E11" s="154">
        <f t="shared" ref="E11" si="5">+P11/$P$5</f>
        <v>5.5555555555555552E-2</v>
      </c>
      <c r="F11" s="154">
        <f t="shared" ref="F11" si="6">+T11/$T$5</f>
        <v>0.14655172413793102</v>
      </c>
      <c r="H11" s="158">
        <f>+'Kostn.líkan - Sundurliðun'!Z66</f>
        <v>13</v>
      </c>
      <c r="I11" s="159">
        <f>+'Kostn.líkan - Sundurliðun'!AA66</f>
        <v>6.9444443376068385E-3</v>
      </c>
      <c r="J11" s="187">
        <f>+'Kostn.líkan - Sundurliðun'!AB66</f>
        <v>88818.95954879999</v>
      </c>
      <c r="K11" s="158">
        <f>+'Kostn.líkan - Sundurliðun'!AC66</f>
        <v>3</v>
      </c>
      <c r="L11" s="159">
        <f>+'Kostn.líkan - Sundurliðun'!AD66</f>
        <v>1.6025640779092705E-3</v>
      </c>
      <c r="M11" s="187">
        <f>+'Kostn.líkan - Sundurliðun'!AE66</f>
        <v>20496.682972799998</v>
      </c>
      <c r="N11" s="158">
        <f>+'Kostn.líkan - Sundurliðun'!AF66</f>
        <v>1</v>
      </c>
      <c r="O11" s="159">
        <f>+'Kostn.líkan - Sundurliðun'!AG66</f>
        <v>5.3418802596975684E-4</v>
      </c>
      <c r="P11" s="187">
        <f>+'Kostn.líkan - Sundurliðun'!AH66</f>
        <v>6832.2276575999995</v>
      </c>
      <c r="Q11" s="229"/>
      <c r="R11" s="270">
        <f>+'Kostn.líkan - Sundurliðun'!AJ66</f>
        <v>17</v>
      </c>
      <c r="S11" s="159">
        <f>+'Kostn.líkan - Sundurliðun'!AK66</f>
        <v>9.0811964414858667E-3</v>
      </c>
      <c r="T11" s="160">
        <f>+'Kostn.líkan - Sundurliðun'!AL66</f>
        <v>116147.87017919999</v>
      </c>
      <c r="U11" s="154"/>
    </row>
    <row r="12" spans="1:21" x14ac:dyDescent="0.3">
      <c r="B12" s="38"/>
      <c r="C12" s="154"/>
      <c r="D12" s="154"/>
      <c r="E12" s="154"/>
      <c r="F12" s="154"/>
      <c r="G12" s="209"/>
      <c r="H12" s="158"/>
      <c r="I12" s="159"/>
      <c r="J12" s="187"/>
      <c r="K12" s="158"/>
      <c r="L12" s="159"/>
      <c r="M12" s="187"/>
      <c r="N12" s="158"/>
      <c r="O12" s="159"/>
      <c r="P12" s="187"/>
      <c r="Q12" s="229"/>
      <c r="R12" s="158"/>
      <c r="S12" s="159"/>
      <c r="T12" s="160"/>
    </row>
    <row r="13" spans="1:21" ht="21" customHeight="1" x14ac:dyDescent="0.3">
      <c r="B13" s="119"/>
      <c r="C13" s="153"/>
      <c r="D13" s="153"/>
      <c r="E13" s="153"/>
      <c r="F13" s="153"/>
      <c r="H13" s="155"/>
      <c r="I13" s="156"/>
      <c r="J13" s="186"/>
      <c r="K13" s="155"/>
      <c r="L13" s="156"/>
      <c r="M13" s="186"/>
      <c r="N13" s="155"/>
      <c r="O13" s="156"/>
      <c r="P13" s="186"/>
      <c r="Q13" s="230"/>
      <c r="R13" s="155"/>
      <c r="S13" s="156"/>
      <c r="T13" s="157"/>
    </row>
    <row r="14" spans="1:21" x14ac:dyDescent="0.3">
      <c r="B14" s="113" t="s">
        <v>181</v>
      </c>
      <c r="C14" s="114"/>
      <c r="D14" s="115"/>
      <c r="E14" s="115"/>
      <c r="F14" s="116"/>
      <c r="G14" s="11"/>
      <c r="H14" s="338" t="s">
        <v>3</v>
      </c>
      <c r="I14" s="339"/>
      <c r="J14" s="340"/>
      <c r="K14" s="338" t="s">
        <v>4</v>
      </c>
      <c r="L14" s="339"/>
      <c r="M14" s="340"/>
      <c r="N14" s="338" t="s">
        <v>113</v>
      </c>
      <c r="O14" s="339"/>
      <c r="P14" s="340"/>
      <c r="Q14" s="19"/>
      <c r="R14" s="338" t="s">
        <v>114</v>
      </c>
      <c r="S14" s="339"/>
      <c r="T14" s="340"/>
    </row>
    <row r="15" spans="1:21" x14ac:dyDescent="0.3">
      <c r="B15" s="117"/>
      <c r="C15" s="144" t="s">
        <v>3</v>
      </c>
      <c r="D15" s="118" t="s">
        <v>4</v>
      </c>
      <c r="E15" s="118" t="s">
        <v>113</v>
      </c>
      <c r="F15" s="145" t="s">
        <v>35</v>
      </c>
      <c r="G15" s="11"/>
      <c r="H15" s="144" t="s">
        <v>13</v>
      </c>
      <c r="I15" s="118" t="s">
        <v>28</v>
      </c>
      <c r="J15" s="145" t="s">
        <v>29</v>
      </c>
      <c r="K15" s="144" t="s">
        <v>13</v>
      </c>
      <c r="L15" s="118" t="s">
        <v>28</v>
      </c>
      <c r="M15" s="145" t="s">
        <v>29</v>
      </c>
      <c r="N15" s="144" t="s">
        <v>13</v>
      </c>
      <c r="O15" s="118" t="s">
        <v>28</v>
      </c>
      <c r="P15" s="118" t="s">
        <v>29</v>
      </c>
      <c r="Q15" s="19"/>
      <c r="R15" s="118" t="s">
        <v>13</v>
      </c>
      <c r="S15" s="118" t="s">
        <v>28</v>
      </c>
      <c r="T15" s="145" t="s">
        <v>29</v>
      </c>
    </row>
    <row r="16" spans="1:21" x14ac:dyDescent="0.3">
      <c r="A16" s="37" t="s">
        <v>87</v>
      </c>
      <c r="B16" t="s">
        <v>180</v>
      </c>
      <c r="C16" s="302">
        <f t="shared" si="0"/>
        <v>0.19014084507042256</v>
      </c>
      <c r="D16" s="302">
        <f t="shared" si="1"/>
        <v>0.14814814814814814</v>
      </c>
      <c r="E16" s="302">
        <f>+P16/$P$5</f>
        <v>5.5555555555555552E-2</v>
      </c>
      <c r="F16" s="302">
        <f t="shared" si="3"/>
        <v>0.15948275862068967</v>
      </c>
      <c r="H16" s="158">
        <f>+'Kostn.líkan - Sundurliðun'!Z79</f>
        <v>13.5</v>
      </c>
      <c r="I16" s="159">
        <f>+'Kostn.líkan - Sundurliðun'!AA79</f>
        <v>7.2115383505917171E-3</v>
      </c>
      <c r="J16" s="187">
        <f>+'Kostn.líkan - Sundurliðun'!AB79</f>
        <v>92235.073377599998</v>
      </c>
      <c r="K16" s="158">
        <f>+'Kostn.líkan - Sundurliðun'!AC79</f>
        <v>4</v>
      </c>
      <c r="L16" s="159">
        <f>+'Kostn.líkan - Sundurliðun'!AD79</f>
        <v>2.1367521038790274E-3</v>
      </c>
      <c r="M16" s="187">
        <f>+'Kostn.líkan - Sundurliðun'!AE79</f>
        <v>27328.910630399998</v>
      </c>
      <c r="N16" s="158">
        <f>+'Kostn.líkan - Sundurliðun'!AF79</f>
        <v>1</v>
      </c>
      <c r="O16" s="159">
        <f>+'Kostn.líkan - Sundurliðun'!AG79</f>
        <v>5.3418802596975684E-4</v>
      </c>
      <c r="P16" s="187">
        <f>+'Kostn.líkan - Sundurliðun'!AH79</f>
        <v>6832.2276575999995</v>
      </c>
      <c r="Q16" s="229"/>
      <c r="R16" s="158">
        <f>+'Kostn.líkan - Sundurliðun'!AJ79</f>
        <v>18.5</v>
      </c>
      <c r="S16" s="159">
        <f>+'Kostn.líkan - Sundurliðun'!AK79</f>
        <v>9.8824784804405017E-3</v>
      </c>
      <c r="T16" s="160">
        <f>+'Kostn.líkan - Sundurliðun'!AL79</f>
        <v>126396.2116656</v>
      </c>
    </row>
    <row r="17" spans="1:20" x14ac:dyDescent="0.3">
      <c r="A17" s="37"/>
      <c r="B17" t="s">
        <v>182</v>
      </c>
      <c r="C17" s="91"/>
      <c r="D17" s="91"/>
      <c r="E17" s="91"/>
      <c r="F17" s="91"/>
      <c r="H17" s="22"/>
      <c r="I17" s="92"/>
      <c r="J17" s="93"/>
      <c r="K17" s="22"/>
      <c r="L17" s="92"/>
      <c r="M17" s="93"/>
      <c r="N17" s="93"/>
      <c r="O17" s="93"/>
      <c r="P17" s="93"/>
      <c r="Q17" s="86"/>
      <c r="R17" s="22"/>
      <c r="S17" s="92"/>
      <c r="T17" s="93"/>
    </row>
    <row r="18" spans="1:20" x14ac:dyDescent="0.3">
      <c r="A18" s="37"/>
      <c r="C18" s="91"/>
      <c r="D18" s="91"/>
      <c r="E18" s="91"/>
      <c r="F18" s="91"/>
      <c r="H18" s="22"/>
      <c r="I18" s="92"/>
      <c r="J18" s="93"/>
      <c r="K18" s="22"/>
      <c r="L18" s="92"/>
      <c r="M18" s="93"/>
      <c r="N18" s="93"/>
      <c r="O18" s="93"/>
      <c r="P18" s="93"/>
      <c r="Q18" s="86"/>
      <c r="R18" s="22"/>
      <c r="S18" s="92"/>
      <c r="T18" s="93"/>
    </row>
    <row r="19" spans="1:20" x14ac:dyDescent="0.3">
      <c r="A19" s="37"/>
      <c r="B19" s="71" t="s">
        <v>123</v>
      </c>
      <c r="C19" s="91"/>
      <c r="D19" s="91"/>
      <c r="E19" s="91"/>
      <c r="F19" s="91"/>
      <c r="H19" s="22"/>
      <c r="I19" s="92"/>
      <c r="J19" s="93"/>
      <c r="K19" s="22"/>
      <c r="L19" s="92"/>
      <c r="M19" s="93"/>
      <c r="N19" s="93"/>
      <c r="O19" s="93"/>
      <c r="P19" s="93"/>
      <c r="Q19" s="86"/>
      <c r="R19" s="22"/>
      <c r="S19" s="92"/>
      <c r="T19" s="93"/>
    </row>
    <row r="20" spans="1:20" x14ac:dyDescent="0.3">
      <c r="A20" s="37" t="s">
        <v>87</v>
      </c>
      <c r="B20" s="37" t="s">
        <v>124</v>
      </c>
      <c r="C20" s="91"/>
      <c r="D20" s="91"/>
      <c r="E20" s="91"/>
      <c r="F20" s="91"/>
      <c r="H20" s="22"/>
      <c r="I20" s="92"/>
      <c r="J20" s="93"/>
      <c r="K20" s="22"/>
      <c r="L20" s="92"/>
      <c r="M20" s="93"/>
      <c r="N20" s="93"/>
      <c r="O20" s="93"/>
      <c r="P20" s="93"/>
      <c r="Q20" s="86"/>
      <c r="R20" s="22"/>
      <c r="S20" s="92"/>
      <c r="T20" s="288"/>
    </row>
    <row r="21" spans="1:20" x14ac:dyDescent="0.3">
      <c r="B21" s="37" t="s">
        <v>88</v>
      </c>
      <c r="C21" s="91"/>
      <c r="D21" s="91"/>
      <c r="E21" s="91"/>
      <c r="F21" s="91"/>
      <c r="H21" s="22"/>
      <c r="I21" s="92"/>
      <c r="J21" s="93"/>
      <c r="K21" s="22"/>
      <c r="L21" s="92"/>
      <c r="M21" s="93"/>
      <c r="N21" s="93"/>
      <c r="O21" s="93"/>
      <c r="P21" s="93"/>
      <c r="Q21" s="86"/>
      <c r="R21" s="22"/>
      <c r="S21" s="92"/>
      <c r="T21" s="93"/>
    </row>
    <row r="22" spans="1:20" x14ac:dyDescent="0.3">
      <c r="B22" s="37" t="s">
        <v>302</v>
      </c>
      <c r="C22" s="91"/>
      <c r="D22" s="91"/>
      <c r="E22" s="91"/>
      <c r="F22" s="91"/>
      <c r="H22" s="22"/>
      <c r="I22" s="92"/>
      <c r="J22" s="93"/>
      <c r="K22" s="22"/>
      <c r="L22" s="92"/>
      <c r="M22" s="93"/>
      <c r="N22" s="93"/>
      <c r="O22" s="93"/>
      <c r="P22" s="93"/>
      <c r="Q22" s="86"/>
      <c r="R22" s="22"/>
      <c r="S22" s="92"/>
      <c r="T22" s="93"/>
    </row>
    <row r="23" spans="1:20" x14ac:dyDescent="0.3">
      <c r="B23" s="37" t="s">
        <v>303</v>
      </c>
      <c r="C23" s="91"/>
      <c r="D23" s="91"/>
      <c r="E23" s="91"/>
      <c r="F23" s="91"/>
      <c r="H23" s="22"/>
      <c r="I23" s="92"/>
      <c r="J23" s="93"/>
      <c r="K23" s="22"/>
      <c r="L23" s="92"/>
      <c r="M23" s="93"/>
      <c r="N23" s="93"/>
      <c r="O23" s="93"/>
      <c r="P23" s="93"/>
      <c r="Q23" s="86"/>
      <c r="R23" s="22"/>
      <c r="S23" s="92"/>
      <c r="T23" s="93"/>
    </row>
    <row r="24" spans="1:20" x14ac:dyDescent="0.3">
      <c r="B24" s="37" t="s">
        <v>89</v>
      </c>
      <c r="C24" s="91"/>
      <c r="D24" s="91"/>
      <c r="E24" s="91"/>
      <c r="F24" s="91"/>
      <c r="H24" s="22"/>
      <c r="I24" s="92"/>
      <c r="J24" s="93"/>
      <c r="K24" s="22"/>
      <c r="L24" s="92"/>
      <c r="M24" s="93"/>
      <c r="N24" s="93"/>
      <c r="O24" s="93"/>
      <c r="P24" s="93"/>
      <c r="Q24" s="86"/>
      <c r="R24" s="22"/>
      <c r="S24" s="92"/>
      <c r="T24" s="93"/>
    </row>
    <row r="25" spans="1:20" x14ac:dyDescent="0.3">
      <c r="B25" s="37" t="s">
        <v>125</v>
      </c>
      <c r="C25" s="91"/>
      <c r="D25" s="91"/>
      <c r="E25" s="91"/>
      <c r="F25" s="91"/>
      <c r="H25" s="22"/>
      <c r="I25" s="92"/>
      <c r="J25" s="93"/>
      <c r="K25" s="22"/>
      <c r="L25" s="92"/>
      <c r="M25" s="93"/>
      <c r="N25" s="93"/>
      <c r="O25" s="93"/>
      <c r="P25" s="93"/>
      <c r="Q25" s="86"/>
      <c r="R25" s="22"/>
      <c r="S25" s="92"/>
      <c r="T25" s="93"/>
    </row>
    <row r="26" spans="1:20" x14ac:dyDescent="0.3">
      <c r="B26" s="37"/>
      <c r="C26" s="91"/>
      <c r="D26" s="91"/>
      <c r="E26" s="91"/>
      <c r="F26" s="91"/>
      <c r="H26" s="22"/>
      <c r="I26" s="92"/>
      <c r="J26" s="93"/>
      <c r="K26" s="22"/>
      <c r="L26" s="92"/>
      <c r="M26" s="93"/>
      <c r="N26" s="93"/>
      <c r="O26" s="93"/>
      <c r="P26" s="93"/>
      <c r="Q26" s="86"/>
      <c r="R26" s="22"/>
      <c r="S26" s="92"/>
      <c r="T26" s="93"/>
    </row>
    <row r="27" spans="1:20" x14ac:dyDescent="0.3">
      <c r="B27" s="37" t="s">
        <v>94</v>
      </c>
      <c r="C27" s="91"/>
      <c r="D27" s="91"/>
      <c r="E27" s="91"/>
      <c r="F27" s="91"/>
      <c r="H27" s="22"/>
      <c r="I27" s="92"/>
      <c r="J27" s="93"/>
      <c r="K27" s="22"/>
      <c r="L27" s="92"/>
      <c r="M27" s="93"/>
      <c r="N27" s="93"/>
      <c r="O27" s="93"/>
      <c r="P27" s="93"/>
      <c r="Q27" s="86"/>
      <c r="R27" s="22"/>
      <c r="S27" s="92"/>
      <c r="T27" s="93"/>
    </row>
    <row r="28" spans="1:20" x14ac:dyDescent="0.3">
      <c r="B28" s="37" t="s">
        <v>90</v>
      </c>
      <c r="C28" s="95" t="s">
        <v>81</v>
      </c>
      <c r="D28" s="95" t="s">
        <v>82</v>
      </c>
      <c r="E28" s="95" t="s">
        <v>92</v>
      </c>
      <c r="F28" s="95" t="s">
        <v>126</v>
      </c>
      <c r="H28" s="96" t="s">
        <v>35</v>
      </c>
      <c r="I28" s="22"/>
      <c r="J28" s="93"/>
      <c r="K28" s="22"/>
      <c r="L28" s="92"/>
      <c r="M28" s="93"/>
      <c r="N28" s="93"/>
      <c r="O28" s="93"/>
      <c r="P28" s="93"/>
      <c r="Q28" s="86"/>
      <c r="R28" s="22"/>
      <c r="S28" s="92"/>
      <c r="T28" s="93"/>
    </row>
    <row r="29" spans="1:20" x14ac:dyDescent="0.3">
      <c r="B29" s="37" t="s">
        <v>91</v>
      </c>
      <c r="C29" s="91">
        <f>+H5</f>
        <v>71</v>
      </c>
      <c r="D29" s="91">
        <f>+K5</f>
        <v>27</v>
      </c>
      <c r="E29" s="91">
        <f>+N5</f>
        <v>18</v>
      </c>
      <c r="F29" s="91"/>
      <c r="H29" s="32">
        <f>SUM(C29:F29)</f>
        <v>116</v>
      </c>
      <c r="I29" s="75" t="s">
        <v>93</v>
      </c>
      <c r="J29" s="93"/>
      <c r="K29" s="22"/>
      <c r="L29" s="92"/>
      <c r="M29" s="93"/>
      <c r="N29" s="93"/>
      <c r="O29" s="93"/>
      <c r="P29" s="93"/>
      <c r="Q29" s="86"/>
      <c r="R29" s="22"/>
      <c r="S29" s="92"/>
      <c r="T29" s="93"/>
    </row>
    <row r="30" spans="1:20" x14ac:dyDescent="0.3">
      <c r="B30" s="37" t="s">
        <v>183</v>
      </c>
      <c r="C30" s="94"/>
      <c r="D30" s="94">
        <f>+H16</f>
        <v>13.5</v>
      </c>
      <c r="E30" s="94">
        <f>+K16</f>
        <v>4</v>
      </c>
      <c r="F30" s="94">
        <f>+N16</f>
        <v>1</v>
      </c>
      <c r="H30" s="78">
        <f>SUM(C30:F30)</f>
        <v>18.5</v>
      </c>
      <c r="I30" s="22"/>
      <c r="J30" s="93"/>
      <c r="K30" s="22"/>
      <c r="L30" s="92"/>
      <c r="M30" s="93"/>
      <c r="N30" s="93"/>
      <c r="O30" s="93"/>
      <c r="P30" s="93"/>
      <c r="Q30" s="86"/>
      <c r="R30" s="22"/>
      <c r="S30" s="92"/>
      <c r="T30" s="93"/>
    </row>
    <row r="31" spans="1:20" x14ac:dyDescent="0.3">
      <c r="B31" s="37"/>
      <c r="C31" s="91">
        <f>+C29+C30</f>
        <v>71</v>
      </c>
      <c r="D31" s="91">
        <f>+D29+D30</f>
        <v>40.5</v>
      </c>
      <c r="E31" s="91">
        <f>+E29+E30</f>
        <v>22</v>
      </c>
      <c r="F31" s="91">
        <f>+F29+F30</f>
        <v>1</v>
      </c>
      <c r="H31" s="32">
        <f>SUM(C31:F31)</f>
        <v>134.5</v>
      </c>
      <c r="I31" s="22"/>
      <c r="J31" s="93"/>
      <c r="K31" s="22"/>
      <c r="L31" s="92"/>
      <c r="M31" s="93"/>
      <c r="N31" s="93"/>
      <c r="O31" s="93"/>
      <c r="P31" s="93"/>
      <c r="Q31" s="86"/>
      <c r="R31" s="22"/>
      <c r="S31" s="92"/>
      <c r="T31" s="93"/>
    </row>
    <row r="32" spans="1:20" x14ac:dyDescent="0.3">
      <c r="B32" s="37"/>
      <c r="C32" s="91"/>
      <c r="D32" s="91"/>
      <c r="E32" s="91"/>
      <c r="F32" s="91"/>
      <c r="G32" s="32"/>
      <c r="H32" s="22"/>
      <c r="L32" s="121"/>
    </row>
  </sheetData>
  <mergeCells count="8">
    <mergeCell ref="H14:J14"/>
    <mergeCell ref="K14:M14"/>
    <mergeCell ref="N14:P14"/>
    <mergeCell ref="R14:T14"/>
    <mergeCell ref="H2:J2"/>
    <mergeCell ref="K2:M2"/>
    <mergeCell ref="R2:T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A8E3-BC22-4294-AA1A-F00B6CB71A7F}">
  <dimension ref="B1:F44"/>
  <sheetViews>
    <sheetView topLeftCell="A22" workbookViewId="0">
      <selection activeCell="B44" sqref="B44"/>
    </sheetView>
  </sheetViews>
  <sheetFormatPr defaultRowHeight="14.4" x14ac:dyDescent="0.3"/>
  <cols>
    <col min="2" max="2" width="36.5546875" customWidth="1"/>
    <col min="3" max="6" width="12.88671875" customWidth="1"/>
  </cols>
  <sheetData>
    <row r="1" spans="2:6" ht="18" x14ac:dyDescent="0.35">
      <c r="B1" s="287" t="s">
        <v>281</v>
      </c>
    </row>
    <row r="3" spans="2:6" x14ac:dyDescent="0.3">
      <c r="B3" s="1" t="s">
        <v>174</v>
      </c>
      <c r="C3" s="220" t="s">
        <v>175</v>
      </c>
    </row>
    <row r="4" spans="2:6" x14ac:dyDescent="0.3">
      <c r="B4" s="1" t="s">
        <v>172</v>
      </c>
      <c r="C4" s="275">
        <f>+LaunKlst</f>
        <v>6832.2276575999995</v>
      </c>
    </row>
    <row r="5" spans="2:6" x14ac:dyDescent="0.3">
      <c r="B5" s="1" t="s">
        <v>276</v>
      </c>
      <c r="C5" s="218">
        <f>+VirkarVinnustPrMan*12</f>
        <v>1872.0000288000001</v>
      </c>
    </row>
    <row r="6" spans="2:6" x14ac:dyDescent="0.3">
      <c r="B6" s="1" t="s">
        <v>173</v>
      </c>
      <c r="C6" s="218">
        <v>50000000</v>
      </c>
    </row>
    <row r="7" spans="2:6" x14ac:dyDescent="0.3">
      <c r="B7" s="1" t="s">
        <v>280</v>
      </c>
      <c r="C7" s="218">
        <f>+F34*LaunKlst</f>
        <v>51627728.082855344</v>
      </c>
    </row>
    <row r="8" spans="2:6" ht="15" thickBot="1" x14ac:dyDescent="0.35">
      <c r="B8" s="1" t="s">
        <v>283</v>
      </c>
      <c r="C8" s="286">
        <f>+C7-C6</f>
        <v>1627728.0828553438</v>
      </c>
    </row>
    <row r="9" spans="2:6" ht="15" thickTop="1" x14ac:dyDescent="0.3"/>
    <row r="10" spans="2:6" ht="15" thickBot="1" x14ac:dyDescent="0.35">
      <c r="B10" s="48"/>
      <c r="C10" s="219" t="s">
        <v>3</v>
      </c>
      <c r="D10" s="219" t="s">
        <v>4</v>
      </c>
      <c r="E10" s="219" t="s">
        <v>113</v>
      </c>
      <c r="F10" s="283" t="s">
        <v>35</v>
      </c>
    </row>
    <row r="11" spans="2:6" ht="19.8" customHeight="1" thickTop="1" x14ac:dyDescent="0.3">
      <c r="B11" s="289" t="s">
        <v>277</v>
      </c>
      <c r="C11" s="290"/>
      <c r="D11" s="290"/>
      <c r="E11" s="290"/>
      <c r="F11" s="291"/>
    </row>
    <row r="12" spans="2:6" x14ac:dyDescent="0.3">
      <c r="B12" s="279" t="s">
        <v>31</v>
      </c>
      <c r="F12" s="291"/>
    </row>
    <row r="13" spans="2:6" x14ac:dyDescent="0.3">
      <c r="B13" s="276" t="s">
        <v>170</v>
      </c>
      <c r="C13" s="221">
        <v>30</v>
      </c>
      <c r="D13" s="221">
        <v>20</v>
      </c>
      <c r="E13" s="221">
        <v>10</v>
      </c>
      <c r="F13" s="291">
        <f>SUM(C13:E13)</f>
        <v>60</v>
      </c>
    </row>
    <row r="14" spans="2:6" x14ac:dyDescent="0.3">
      <c r="B14" s="276" t="s">
        <v>271</v>
      </c>
      <c r="C14" s="221">
        <v>25</v>
      </c>
      <c r="D14" s="221">
        <v>5</v>
      </c>
      <c r="E14" s="221">
        <v>3</v>
      </c>
      <c r="F14" s="291">
        <f>SUM(C14:E14)</f>
        <v>33</v>
      </c>
    </row>
    <row r="15" spans="2:6" x14ac:dyDescent="0.3">
      <c r="B15" s="276" t="s">
        <v>210</v>
      </c>
      <c r="C15" s="221">
        <v>30</v>
      </c>
      <c r="D15" s="221">
        <v>15</v>
      </c>
      <c r="E15" s="221">
        <v>10</v>
      </c>
      <c r="F15" s="291">
        <f>SUM(C15:E15)</f>
        <v>55</v>
      </c>
    </row>
    <row r="16" spans="2:6" x14ac:dyDescent="0.3">
      <c r="B16" s="279" t="s">
        <v>23</v>
      </c>
      <c r="C16" s="20"/>
      <c r="D16" s="20"/>
      <c r="E16" s="20"/>
      <c r="F16" s="291"/>
    </row>
    <row r="17" spans="2:6" x14ac:dyDescent="0.3">
      <c r="B17" s="276" t="s">
        <v>170</v>
      </c>
      <c r="C17" s="221">
        <v>5</v>
      </c>
      <c r="D17" s="221">
        <v>10</v>
      </c>
      <c r="E17" s="221">
        <v>5</v>
      </c>
      <c r="F17" s="291">
        <f>SUM(C17:E17)</f>
        <v>20</v>
      </c>
    </row>
    <row r="18" spans="2:6" x14ac:dyDescent="0.3">
      <c r="B18" s="276" t="s">
        <v>271</v>
      </c>
      <c r="C18" s="221">
        <v>6</v>
      </c>
      <c r="D18" s="221">
        <v>7</v>
      </c>
      <c r="E18" s="221">
        <v>9</v>
      </c>
      <c r="F18" s="291">
        <f>SUM(C18:E18)</f>
        <v>22</v>
      </c>
    </row>
    <row r="19" spans="2:6" x14ac:dyDescent="0.3">
      <c r="B19" s="276" t="s">
        <v>210</v>
      </c>
      <c r="C19" s="221">
        <v>20</v>
      </c>
      <c r="D19" s="221">
        <v>15</v>
      </c>
      <c r="E19" s="221">
        <v>3</v>
      </c>
      <c r="F19" s="291">
        <f>SUM(C19:E19)</f>
        <v>38</v>
      </c>
    </row>
    <row r="20" spans="2:6" x14ac:dyDescent="0.3">
      <c r="B20" s="279" t="s">
        <v>171</v>
      </c>
      <c r="C20" s="20"/>
      <c r="D20" s="20"/>
      <c r="E20" s="20"/>
      <c r="F20" s="291"/>
    </row>
    <row r="21" spans="2:6" x14ac:dyDescent="0.3">
      <c r="B21" s="277" t="s">
        <v>270</v>
      </c>
      <c r="C21" s="222">
        <v>2</v>
      </c>
      <c r="D21" s="222">
        <v>3</v>
      </c>
      <c r="E21" s="222">
        <v>1</v>
      </c>
      <c r="F21" s="292">
        <f>SUM(C21:E21)</f>
        <v>6</v>
      </c>
    </row>
    <row r="22" spans="2:6" ht="19.8" customHeight="1" x14ac:dyDescent="0.3">
      <c r="B22" s="289" t="s">
        <v>278</v>
      </c>
      <c r="C22" s="290"/>
      <c r="D22" s="290"/>
      <c r="E22" s="290"/>
      <c r="F22" s="291"/>
    </row>
    <row r="23" spans="2:6" x14ac:dyDescent="0.3">
      <c r="B23" s="279" t="s">
        <v>31</v>
      </c>
      <c r="C23" s="274"/>
      <c r="D23" s="274"/>
      <c r="E23" s="274"/>
      <c r="F23" s="291"/>
    </row>
    <row r="24" spans="2:6" x14ac:dyDescent="0.3">
      <c r="B24" s="276" t="s">
        <v>170</v>
      </c>
      <c r="C24" s="280">
        <f>+C13*'Kostn.líkan - Alls'!H5</f>
        <v>2130</v>
      </c>
      <c r="D24" s="280">
        <f>+D13*'Kostn.líkan - Alls'!K5</f>
        <v>540</v>
      </c>
      <c r="E24" s="280">
        <f>+E13*'Kostn.líkan - Alls'!N5</f>
        <v>180</v>
      </c>
      <c r="F24" s="293">
        <f>SUM(C24:E24)</f>
        <v>2850</v>
      </c>
    </row>
    <row r="25" spans="2:6" x14ac:dyDescent="0.3">
      <c r="B25" s="276" t="s">
        <v>271</v>
      </c>
      <c r="C25" s="280">
        <f>+C14*'Kostn.líkan - Alls'!H6</f>
        <v>1987.4999750000002</v>
      </c>
      <c r="D25" s="280">
        <f>+D14*'Kostn.líkan - Alls'!K6</f>
        <v>157.5</v>
      </c>
      <c r="E25" s="280">
        <f>+E14*'Kostn.líkan - Alls'!N6</f>
        <v>54</v>
      </c>
      <c r="F25" s="293">
        <f>SUM(C25:E25)</f>
        <v>2198.9999750000002</v>
      </c>
    </row>
    <row r="26" spans="2:6" x14ac:dyDescent="0.3">
      <c r="B26" s="276" t="s">
        <v>210</v>
      </c>
      <c r="C26" s="280">
        <f>+C15*'Kostn.líkan - Alls'!H7</f>
        <v>270</v>
      </c>
      <c r="D26" s="280">
        <f>+D15*'Kostn.líkan - Alls'!K7</f>
        <v>45</v>
      </c>
      <c r="E26" s="280">
        <f>+E15*'Kostn.líkan - Alls'!N7</f>
        <v>10</v>
      </c>
      <c r="F26" s="293">
        <f>SUM(C26:E26)</f>
        <v>325</v>
      </c>
    </row>
    <row r="27" spans="2:6" x14ac:dyDescent="0.3">
      <c r="B27" s="279" t="s">
        <v>23</v>
      </c>
      <c r="C27" s="280"/>
      <c r="D27" s="280"/>
      <c r="E27" s="280"/>
      <c r="F27" s="291"/>
    </row>
    <row r="28" spans="2:6" x14ac:dyDescent="0.3">
      <c r="B28" s="276" t="s">
        <v>170</v>
      </c>
      <c r="C28" s="280">
        <f>+C17*'Kostn.líkan - Alls'!H9</f>
        <v>450</v>
      </c>
      <c r="D28" s="280">
        <f>+D17*'Kostn.líkan - Alls'!K9</f>
        <v>300</v>
      </c>
      <c r="E28" s="280">
        <f>+E17*'Kostn.líkan - Alls'!N9</f>
        <v>90</v>
      </c>
      <c r="F28" s="293">
        <f>SUM(C28:E28)</f>
        <v>840</v>
      </c>
    </row>
    <row r="29" spans="2:6" x14ac:dyDescent="0.3">
      <c r="B29" s="276" t="s">
        <v>271</v>
      </c>
      <c r="C29" s="280">
        <f>+C18*'Kostn.líkan - Alls'!H10</f>
        <v>590.99999400000002</v>
      </c>
      <c r="D29" s="280">
        <f>+D18*'Kostn.líkan - Alls'!K10</f>
        <v>241.5</v>
      </c>
      <c r="E29" s="280">
        <f>+E18*'Kostn.líkan - Alls'!N10</f>
        <v>162</v>
      </c>
      <c r="F29" s="293">
        <f>SUM(C29:E29)</f>
        <v>994.49999400000002</v>
      </c>
    </row>
    <row r="30" spans="2:6" x14ac:dyDescent="0.3">
      <c r="B30" s="276" t="s">
        <v>210</v>
      </c>
      <c r="C30" s="280">
        <f>+C19*'Kostn.líkan - Alls'!H11</f>
        <v>260</v>
      </c>
      <c r="D30" s="280">
        <f>+D19*'Kostn.líkan - Alls'!K11</f>
        <v>45</v>
      </c>
      <c r="E30" s="280">
        <f>+E19*'Kostn.líkan - Alls'!N11</f>
        <v>3</v>
      </c>
      <c r="F30" s="293">
        <f>SUM(C30:E30)</f>
        <v>308</v>
      </c>
    </row>
    <row r="31" spans="2:6" x14ac:dyDescent="0.3">
      <c r="B31" s="279" t="s">
        <v>171</v>
      </c>
      <c r="C31" s="280"/>
      <c r="D31" s="280"/>
      <c r="E31" s="280"/>
      <c r="F31" s="291"/>
    </row>
    <row r="32" spans="2:6" x14ac:dyDescent="0.3">
      <c r="B32" s="277" t="s">
        <v>270</v>
      </c>
      <c r="C32" s="281">
        <f>+C21*'Kostn.líkan - Alls'!H16</f>
        <v>27</v>
      </c>
      <c r="D32" s="281">
        <f>+D21*'Kostn.líkan - Alls'!K16</f>
        <v>12</v>
      </c>
      <c r="E32" s="281">
        <f>+E21*'Kostn.líkan - Alls'!N16</f>
        <v>1</v>
      </c>
      <c r="F32" s="294">
        <f>SUM(C32:E32)</f>
        <v>40</v>
      </c>
    </row>
    <row r="33" spans="2:6" ht="19.8" customHeight="1" x14ac:dyDescent="0.3">
      <c r="B33" s="297" t="s">
        <v>275</v>
      </c>
      <c r="C33" s="298"/>
      <c r="D33" s="298"/>
      <c r="E33" s="298"/>
      <c r="F33" s="291"/>
    </row>
    <row r="34" spans="2:6" x14ac:dyDescent="0.3">
      <c r="B34" s="279" t="s">
        <v>282</v>
      </c>
      <c r="C34" s="282">
        <f>SUM(C24:C32)</f>
        <v>5715.4999690000004</v>
      </c>
      <c r="D34" s="282">
        <f>SUM(D24:D32)</f>
        <v>1341</v>
      </c>
      <c r="E34" s="282">
        <f>SUM(E24:E32)</f>
        <v>500</v>
      </c>
      <c r="F34" s="295">
        <f>SUM(C34:E34)</f>
        <v>7556.4999690000004</v>
      </c>
    </row>
    <row r="35" spans="2:6" x14ac:dyDescent="0.3">
      <c r="B35" s="284" t="s">
        <v>279</v>
      </c>
      <c r="C35" s="285">
        <f>+C34/(VirkarVinnustPrMan*12)</f>
        <v>3.0531516458703165</v>
      </c>
      <c r="D35" s="285">
        <f>+D34/(VirkarVinnustPrMan*12)</f>
        <v>0.71634614282544395</v>
      </c>
      <c r="E35" s="285">
        <f>+E34/(VirkarVinnustPrMan*12)</f>
        <v>0.26709401298487839</v>
      </c>
      <c r="F35" s="296">
        <f>+F34/(VirkarVinnustPrMan*12)</f>
        <v>4.0365918016806388</v>
      </c>
    </row>
    <row r="36" spans="2:6" x14ac:dyDescent="0.3">
      <c r="B36" s="278"/>
      <c r="C36" s="280"/>
      <c r="D36" s="280"/>
      <c r="E36" s="280"/>
    </row>
    <row r="37" spans="2:6" x14ac:dyDescent="0.3">
      <c r="B37" s="278"/>
      <c r="C37" s="280"/>
      <c r="D37" s="280"/>
      <c r="E37" s="280"/>
    </row>
    <row r="39" spans="2:6" x14ac:dyDescent="0.3">
      <c r="B39" s="38" t="s">
        <v>273</v>
      </c>
    </row>
    <row r="40" spans="2:6" x14ac:dyDescent="0.3">
      <c r="B40" s="149" t="s">
        <v>274</v>
      </c>
    </row>
    <row r="41" spans="2:6" x14ac:dyDescent="0.3">
      <c r="B41" s="38"/>
    </row>
    <row r="42" spans="2:6" x14ac:dyDescent="0.3">
      <c r="B42" s="38" t="s">
        <v>272</v>
      </c>
    </row>
    <row r="43" spans="2:6" x14ac:dyDescent="0.3">
      <c r="B43" s="149" t="s">
        <v>176</v>
      </c>
    </row>
    <row r="44" spans="2:6" x14ac:dyDescent="0.3">
      <c r="B44" s="149" t="s">
        <v>177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64"/>
  <sheetViews>
    <sheetView topLeftCell="A39" workbookViewId="0">
      <selection activeCell="K17" sqref="K17"/>
    </sheetView>
  </sheetViews>
  <sheetFormatPr defaultRowHeight="14.4" x14ac:dyDescent="0.3"/>
  <cols>
    <col min="1" max="1" width="5.44140625" customWidth="1"/>
    <col min="2" max="2" width="43" customWidth="1"/>
    <col min="3" max="3" width="7.33203125" style="3" customWidth="1"/>
    <col min="4" max="8" width="8.21875" customWidth="1"/>
    <col min="9" max="9" width="4" customWidth="1"/>
    <col min="10" max="14" width="8.21875" customWidth="1"/>
    <col min="15" max="15" width="7.77734375" customWidth="1"/>
  </cols>
  <sheetData>
    <row r="1" spans="2:15" x14ac:dyDescent="0.3">
      <c r="D1" s="341"/>
      <c r="E1" s="341"/>
      <c r="F1" s="341"/>
      <c r="G1" s="341"/>
      <c r="H1" s="341"/>
    </row>
    <row r="2" spans="2:15" ht="15" thickBot="1" x14ac:dyDescent="0.35">
      <c r="B2" s="48" t="s">
        <v>64</v>
      </c>
      <c r="C2" s="49"/>
      <c r="D2" s="49">
        <v>2021</v>
      </c>
      <c r="E2" s="49">
        <v>2022</v>
      </c>
      <c r="F2" s="49">
        <v>2023</v>
      </c>
      <c r="G2" s="49">
        <v>2024</v>
      </c>
      <c r="H2" s="49">
        <v>2025</v>
      </c>
      <c r="J2" s="49">
        <v>2021</v>
      </c>
      <c r="K2" s="49">
        <v>2022</v>
      </c>
      <c r="L2" s="49">
        <v>2023</v>
      </c>
      <c r="M2" s="49">
        <v>2024</v>
      </c>
      <c r="N2" s="49">
        <v>2025</v>
      </c>
      <c r="O2" s="100"/>
    </row>
    <row r="3" spans="2:15" ht="15" thickTop="1" x14ac:dyDescent="0.3">
      <c r="B3" s="47" t="s">
        <v>52</v>
      </c>
      <c r="C3" s="255"/>
      <c r="D3" s="46">
        <f>SUM(D4:D10)</f>
        <v>493</v>
      </c>
      <c r="E3" s="46">
        <f t="shared" ref="E3:H3" si="0">SUM(E4:E10)</f>
        <v>0</v>
      </c>
      <c r="F3" s="46">
        <f t="shared" si="0"/>
        <v>0</v>
      </c>
      <c r="G3" s="46">
        <f t="shared" si="0"/>
        <v>0</v>
      </c>
      <c r="H3" s="46">
        <f t="shared" si="0"/>
        <v>0</v>
      </c>
    </row>
    <row r="4" spans="2:15" x14ac:dyDescent="0.3">
      <c r="B4" s="45" t="s">
        <v>31</v>
      </c>
      <c r="C4" s="256"/>
      <c r="D4" s="46"/>
      <c r="E4" s="46"/>
      <c r="F4" s="46"/>
      <c r="G4" s="46"/>
      <c r="H4" s="46"/>
    </row>
    <row r="5" spans="2:15" x14ac:dyDescent="0.3">
      <c r="B5" s="249" t="s">
        <v>209</v>
      </c>
      <c r="C5" s="256"/>
      <c r="D5" s="52">
        <f>145+96-6-8</f>
        <v>227</v>
      </c>
      <c r="E5" s="52"/>
      <c r="F5" s="52"/>
      <c r="G5" s="52"/>
      <c r="H5" s="52"/>
    </row>
    <row r="6" spans="2:15" x14ac:dyDescent="0.3">
      <c r="B6" s="249" t="s">
        <v>210</v>
      </c>
      <c r="C6" s="256"/>
      <c r="D6" s="52">
        <f>54+59-8-12</f>
        <v>93</v>
      </c>
      <c r="E6" s="52"/>
      <c r="F6" s="52"/>
      <c r="G6" s="52"/>
      <c r="H6" s="52"/>
    </row>
    <row r="7" spans="2:15" x14ac:dyDescent="0.3">
      <c r="B7" s="101" t="s">
        <v>23</v>
      </c>
      <c r="C7" s="257"/>
      <c r="D7" s="251"/>
      <c r="E7" s="251"/>
      <c r="F7" s="251"/>
      <c r="G7" s="251"/>
      <c r="H7" s="251"/>
    </row>
    <row r="8" spans="2:15" x14ac:dyDescent="0.3">
      <c r="B8" s="249" t="s">
        <v>209</v>
      </c>
      <c r="C8" s="256"/>
      <c r="D8" s="231">
        <f>6+8</f>
        <v>14</v>
      </c>
      <c r="E8" s="231"/>
      <c r="F8" s="231"/>
      <c r="G8" s="231"/>
      <c r="H8" s="231"/>
    </row>
    <row r="9" spans="2:15" x14ac:dyDescent="0.3">
      <c r="B9" s="249" t="s">
        <v>210</v>
      </c>
      <c r="C9" s="256"/>
      <c r="D9" s="231">
        <f>8+12</f>
        <v>20</v>
      </c>
      <c r="E9" s="231"/>
      <c r="F9" s="231"/>
      <c r="G9" s="231"/>
      <c r="H9" s="231"/>
    </row>
    <row r="10" spans="2:15" x14ac:dyDescent="0.3">
      <c r="B10" s="101" t="s">
        <v>19</v>
      </c>
      <c r="C10" s="257"/>
      <c r="D10" s="231">
        <v>139</v>
      </c>
      <c r="E10" s="231"/>
      <c r="F10" s="231"/>
      <c r="G10" s="231"/>
      <c r="H10" s="231"/>
    </row>
    <row r="11" spans="2:15" x14ac:dyDescent="0.3">
      <c r="B11" s="249" t="s">
        <v>209</v>
      </c>
      <c r="C11" s="256"/>
      <c r="D11" s="251">
        <f>+ROUND(FJFull*D10,0)</f>
        <v>70</v>
      </c>
      <c r="E11" s="251">
        <f>+ROUND(FJFull*E10,0)</f>
        <v>0</v>
      </c>
      <c r="F11" s="251">
        <f>+ROUND(FJFull*F10,0)</f>
        <v>0</v>
      </c>
      <c r="G11" s="251">
        <f>+ROUND(FJFull*G10,0)</f>
        <v>0</v>
      </c>
      <c r="H11" s="251">
        <f>+ROUND(FJFull*H10,0)</f>
        <v>0</v>
      </c>
    </row>
    <row r="12" spans="2:15" x14ac:dyDescent="0.3">
      <c r="B12" s="250" t="s">
        <v>210</v>
      </c>
      <c r="C12" s="258"/>
      <c r="D12" s="252">
        <f>+D10-D11</f>
        <v>69</v>
      </c>
      <c r="E12" s="252">
        <f t="shared" ref="E12:H12" si="1">+E10-E11</f>
        <v>0</v>
      </c>
      <c r="F12" s="252">
        <f t="shared" si="1"/>
        <v>0</v>
      </c>
      <c r="G12" s="252">
        <f t="shared" si="1"/>
        <v>0</v>
      </c>
      <c r="H12" s="252">
        <f t="shared" si="1"/>
        <v>0</v>
      </c>
    </row>
    <row r="13" spans="2:15" x14ac:dyDescent="0.3">
      <c r="B13" s="47" t="s">
        <v>61</v>
      </c>
      <c r="C13" s="255"/>
      <c r="D13" s="46"/>
      <c r="E13" s="46"/>
      <c r="F13" s="46"/>
      <c r="G13" s="46"/>
      <c r="H13" s="46"/>
    </row>
    <row r="14" spans="2:15" x14ac:dyDescent="0.3">
      <c r="B14" s="101" t="s">
        <v>31</v>
      </c>
      <c r="C14" s="257"/>
      <c r="D14" s="251"/>
      <c r="E14" s="251"/>
      <c r="F14" s="251"/>
      <c r="G14" s="251"/>
      <c r="H14" s="251"/>
    </row>
    <row r="15" spans="2:15" x14ac:dyDescent="0.3">
      <c r="B15" s="249" t="s">
        <v>209</v>
      </c>
      <c r="C15" s="259">
        <f>+Ar1AL</f>
        <v>0.6</v>
      </c>
      <c r="D15" s="251">
        <f>+ROUND(D5*$C15,0)</f>
        <v>136</v>
      </c>
      <c r="E15" s="251">
        <f>+ROUND(E5*$C15,0)</f>
        <v>0</v>
      </c>
      <c r="F15" s="251">
        <f t="shared" ref="F15:H15" si="2">+ROUND(F5*$C15,0)</f>
        <v>0</v>
      </c>
      <c r="G15" s="251">
        <f>+ROUND(G5*$C15,0)</f>
        <v>0</v>
      </c>
      <c r="H15" s="251">
        <f t="shared" si="2"/>
        <v>0</v>
      </c>
    </row>
    <row r="16" spans="2:15" x14ac:dyDescent="0.3">
      <c r="B16" s="249" t="s">
        <v>210</v>
      </c>
      <c r="C16" s="259">
        <f>+Ar1AL</f>
        <v>0.6</v>
      </c>
      <c r="D16" s="251">
        <f>+ROUND(D6*$C16,0)</f>
        <v>56</v>
      </c>
      <c r="E16" s="251">
        <f t="shared" ref="E16:H16" si="3">+ROUND(E6*$C16,0)</f>
        <v>0</v>
      </c>
      <c r="F16" s="251">
        <f t="shared" si="3"/>
        <v>0</v>
      </c>
      <c r="G16" s="251">
        <f t="shared" si="3"/>
        <v>0</v>
      </c>
      <c r="H16" s="251">
        <f t="shared" si="3"/>
        <v>0</v>
      </c>
    </row>
    <row r="17" spans="2:15" x14ac:dyDescent="0.3">
      <c r="B17" s="101" t="s">
        <v>23</v>
      </c>
      <c r="C17" s="257"/>
      <c r="D17" s="251"/>
      <c r="E17" s="251"/>
      <c r="F17" s="251"/>
      <c r="G17" s="251"/>
      <c r="H17" s="251"/>
    </row>
    <row r="18" spans="2:15" x14ac:dyDescent="0.3">
      <c r="B18" s="249" t="s">
        <v>209</v>
      </c>
      <c r="C18" s="260">
        <v>1</v>
      </c>
      <c r="D18" s="251">
        <f>+ROUND(D8*$C18,0)</f>
        <v>14</v>
      </c>
      <c r="E18" s="251">
        <f t="shared" ref="E18:F18" si="4">+ROUND(E8*$C18,0)</f>
        <v>0</v>
      </c>
      <c r="F18" s="251">
        <f t="shared" si="4"/>
        <v>0</v>
      </c>
      <c r="G18" s="251">
        <f>+ROUND(G8*$C18,0)</f>
        <v>0</v>
      </c>
      <c r="H18" s="251">
        <f t="shared" ref="H18" si="5">+ROUND(H8*$C18,0)</f>
        <v>0</v>
      </c>
    </row>
    <row r="19" spans="2:15" x14ac:dyDescent="0.3">
      <c r="B19" s="249" t="s">
        <v>210</v>
      </c>
      <c r="C19" s="260">
        <v>1</v>
      </c>
      <c r="D19" s="251">
        <f>+ROUND(D9*$C19,0)</f>
        <v>20</v>
      </c>
      <c r="E19" s="251">
        <f t="shared" ref="E19:H19" si="6">+ROUND(E9*$C19,0)</f>
        <v>0</v>
      </c>
      <c r="F19" s="251">
        <f t="shared" si="6"/>
        <v>0</v>
      </c>
      <c r="G19" s="251">
        <f t="shared" si="6"/>
        <v>0</v>
      </c>
      <c r="H19" s="251">
        <f t="shared" si="6"/>
        <v>0</v>
      </c>
    </row>
    <row r="20" spans="2:15" x14ac:dyDescent="0.3">
      <c r="B20" s="101" t="s">
        <v>19</v>
      </c>
      <c r="C20" s="257"/>
      <c r="D20" s="251"/>
      <c r="E20" s="251"/>
      <c r="F20" s="251"/>
      <c r="G20" s="251"/>
      <c r="H20" s="251"/>
    </row>
    <row r="21" spans="2:15" x14ac:dyDescent="0.3">
      <c r="B21" s="249" t="s">
        <v>209</v>
      </c>
      <c r="C21" s="260">
        <v>1</v>
      </c>
      <c r="D21" s="251">
        <f>+ROUND(D11*$C21,0)</f>
        <v>70</v>
      </c>
      <c r="E21" s="251">
        <f t="shared" ref="E21:F21" si="7">+ROUND(E11*$C21,0)</f>
        <v>0</v>
      </c>
      <c r="F21" s="251">
        <f t="shared" si="7"/>
        <v>0</v>
      </c>
      <c r="G21" s="251">
        <f>+ROUND(G11*$C21,0)</f>
        <v>0</v>
      </c>
      <c r="H21" s="251">
        <f t="shared" ref="H21" si="8">+ROUND(H11*$C21,0)</f>
        <v>0</v>
      </c>
    </row>
    <row r="22" spans="2:15" x14ac:dyDescent="0.3">
      <c r="B22" s="250" t="s">
        <v>210</v>
      </c>
      <c r="C22" s="262">
        <v>1</v>
      </c>
      <c r="D22" s="252">
        <f>+ROUND(D12*$C22,0)</f>
        <v>69</v>
      </c>
      <c r="E22" s="252">
        <f t="shared" ref="E22:H22" si="9">+ROUND(E12*$C22,0)</f>
        <v>0</v>
      </c>
      <c r="F22" s="252">
        <f t="shared" si="9"/>
        <v>0</v>
      </c>
      <c r="G22" s="252">
        <f t="shared" si="9"/>
        <v>0</v>
      </c>
      <c r="H22" s="252">
        <f t="shared" si="9"/>
        <v>0</v>
      </c>
    </row>
    <row r="23" spans="2:15" x14ac:dyDescent="0.3">
      <c r="B23" s="47" t="s">
        <v>250</v>
      </c>
      <c r="C23" s="263"/>
      <c r="D23" s="55">
        <f>+SUM(J28:J64)</f>
        <v>20197.5999429</v>
      </c>
      <c r="E23" s="55">
        <f t="shared" ref="E23:H23" si="10">+SUM(K28:K64)</f>
        <v>8907.7000000000007</v>
      </c>
      <c r="F23" s="55">
        <f t="shared" si="10"/>
        <v>3077.2000000000003</v>
      </c>
      <c r="G23" s="55">
        <f t="shared" si="10"/>
        <v>0</v>
      </c>
      <c r="H23" s="55">
        <f t="shared" si="10"/>
        <v>0</v>
      </c>
    </row>
    <row r="24" spans="2:15" x14ac:dyDescent="0.3">
      <c r="B24" s="47" t="s">
        <v>251</v>
      </c>
      <c r="C24" s="263"/>
      <c r="D24" s="264">
        <f>+D23*LaunKlst/1000000</f>
        <v>137.99460094702155</v>
      </c>
      <c r="E24" s="264">
        <f>+E23*LaunKlst/1000000</f>
        <v>60.859434305603521</v>
      </c>
      <c r="F24" s="264">
        <f>+F23*LaunKlst/1000000</f>
        <v>21.024130947966722</v>
      </c>
      <c r="G24" s="264">
        <f>+G23*LaunKlst/1000000</f>
        <v>0</v>
      </c>
      <c r="H24" s="264">
        <f>+H23*LaunKlst/1000000</f>
        <v>0</v>
      </c>
    </row>
    <row r="25" spans="2:15" x14ac:dyDescent="0.3">
      <c r="B25" s="265" t="s">
        <v>51</v>
      </c>
      <c r="C25" s="262"/>
      <c r="D25" s="266">
        <f>+D23/VirkarVinnustPrMan/12</f>
        <v>10.789316042824625</v>
      </c>
      <c r="E25" s="266">
        <f>+E23/VirkarVinnustPrMan/12</f>
        <v>4.7583866789308038</v>
      </c>
      <c r="F25" s="266">
        <f>+F23/VirkarVinnustPrMan/12</f>
        <v>1.6438033935141361</v>
      </c>
      <c r="G25" s="266">
        <f>+G23/VirkarVinnustPrMan/12</f>
        <v>0</v>
      </c>
      <c r="H25" s="266">
        <f>+H23/VirkarVinnustPrMan/12</f>
        <v>0</v>
      </c>
      <c r="J25" s="69"/>
      <c r="K25" s="69"/>
      <c r="L25" s="69"/>
      <c r="M25" s="69"/>
      <c r="N25" s="69"/>
      <c r="O25" s="100"/>
    </row>
    <row r="26" spans="2:15" x14ac:dyDescent="0.3">
      <c r="B26" s="47" t="s">
        <v>231</v>
      </c>
      <c r="C26" s="263"/>
      <c r="D26" s="251"/>
      <c r="E26" s="251"/>
      <c r="F26" s="251"/>
      <c r="G26" s="251"/>
      <c r="H26" s="251"/>
      <c r="J26" s="47" t="s">
        <v>248</v>
      </c>
    </row>
    <row r="27" spans="2:15" x14ac:dyDescent="0.3">
      <c r="B27" s="53" t="s">
        <v>220</v>
      </c>
      <c r="C27" s="256"/>
      <c r="D27" s="46"/>
      <c r="E27" s="46"/>
      <c r="F27" s="46"/>
      <c r="G27" s="46"/>
      <c r="H27" s="46"/>
    </row>
    <row r="28" spans="2:15" x14ac:dyDescent="0.3">
      <c r="B28" s="45" t="s">
        <v>223</v>
      </c>
      <c r="C28" s="256"/>
      <c r="D28" s="54">
        <f>+(D$15)*ALEinst</f>
        <v>68</v>
      </c>
      <c r="E28" s="54">
        <f>+(E$15)*ALEinst</f>
        <v>0</v>
      </c>
      <c r="F28" s="54">
        <f>+(F$15)*ALEinst</f>
        <v>0</v>
      </c>
      <c r="G28" s="54">
        <f>+(G$15)*ALEinst</f>
        <v>0</v>
      </c>
      <c r="H28" s="54">
        <f>+(H$15)*ALEinst</f>
        <v>0</v>
      </c>
      <c r="J28" s="54">
        <f>+D28*INDEX(VinnustPrFjolsk_Ar1,1,1)</f>
        <v>4828</v>
      </c>
      <c r="K28" s="54">
        <f>+E28*INDEX(VinnustPrFjolsk_Ar1,1,1)</f>
        <v>0</v>
      </c>
      <c r="L28" s="54">
        <f>+F28*INDEX(VinnustPrFjolsk_Ar1,1,1)</f>
        <v>0</v>
      </c>
      <c r="M28" s="54">
        <f>+G28*INDEX(VinnustPrFjolsk_Ar1,1,1)</f>
        <v>0</v>
      </c>
      <c r="N28" s="54">
        <f>+H28*INDEX(VinnustPrFjolsk_Ar1,1,1)</f>
        <v>0</v>
      </c>
      <c r="O28" s="54"/>
    </row>
    <row r="29" spans="2:15" x14ac:dyDescent="0.3">
      <c r="B29" s="45" t="s">
        <v>224</v>
      </c>
      <c r="C29" s="256"/>
      <c r="D29" s="54">
        <f>+(D$15)*ALHjon/2</f>
        <v>34</v>
      </c>
      <c r="E29" s="54">
        <f>+(E$15)*ALHjon/2</f>
        <v>0</v>
      </c>
      <c r="F29" s="54">
        <f>+(F$15)*ALHjon/2</f>
        <v>0</v>
      </c>
      <c r="G29" s="54">
        <f>+(G$15)*ALHjon/2</f>
        <v>0</v>
      </c>
      <c r="H29" s="54">
        <f>+(H$15)*ALHjon/2</f>
        <v>0</v>
      </c>
      <c r="J29" s="54">
        <f>+D29*INDEX(VinnustPrFjolsk_Ar1,2,1)</f>
        <v>2702.9999660000003</v>
      </c>
      <c r="K29" s="54">
        <f>+E29*INDEX(VinnustPrFjolsk_Ar1,2,1)</f>
        <v>0</v>
      </c>
      <c r="L29" s="54">
        <f>+F29*INDEX(VinnustPrFjolsk_Ar1,2,1)</f>
        <v>0</v>
      </c>
      <c r="M29" s="54">
        <f>+G29*INDEX(VinnustPrFjolsk_Ar1,2,1)</f>
        <v>0</v>
      </c>
      <c r="N29" s="54">
        <f>+H29*INDEX(VinnustPrFjolsk_Ar1,2,1)</f>
        <v>0</v>
      </c>
      <c r="O29" s="54"/>
    </row>
    <row r="30" spans="2:15" x14ac:dyDescent="0.3">
      <c r="B30" s="45" t="s">
        <v>210</v>
      </c>
      <c r="C30" s="256"/>
      <c r="D30" s="54">
        <f>+D16</f>
        <v>56</v>
      </c>
      <c r="E30" s="54">
        <f>+E16</f>
        <v>0</v>
      </c>
      <c r="F30" s="54">
        <f>+F16</f>
        <v>0</v>
      </c>
      <c r="G30" s="54">
        <f>+G16</f>
        <v>0</v>
      </c>
      <c r="H30" s="54">
        <f>+H16</f>
        <v>0</v>
      </c>
      <c r="J30" s="54">
        <f>+D30*INDEX(VinnustPrFjolsk_Ar1,3,1)</f>
        <v>504</v>
      </c>
      <c r="K30" s="54">
        <f>+E30*INDEX(VinnustPrFjolsk_Ar1,3,1)</f>
        <v>0</v>
      </c>
      <c r="L30" s="54">
        <f>+F30*INDEX(VinnustPrFjolsk_Ar1,3,1)</f>
        <v>0</v>
      </c>
      <c r="M30" s="54">
        <f>+G30*INDEX(VinnustPrFjolsk_Ar1,3,1)</f>
        <v>0</v>
      </c>
      <c r="N30" s="54">
        <f>+H30*INDEX(VinnustPrFjolsk_Ar1,3,1)</f>
        <v>0</v>
      </c>
      <c r="O30" s="54"/>
    </row>
    <row r="31" spans="2:15" x14ac:dyDescent="0.3">
      <c r="B31" s="53" t="s">
        <v>221</v>
      </c>
      <c r="C31" s="256"/>
      <c r="D31" s="46"/>
      <c r="E31" s="46"/>
      <c r="F31" s="46"/>
      <c r="G31" s="46"/>
      <c r="H31" s="46"/>
    </row>
    <row r="32" spans="2:15" x14ac:dyDescent="0.3">
      <c r="B32" s="45" t="s">
        <v>223</v>
      </c>
      <c r="C32" s="256"/>
      <c r="D32" s="54">
        <f>+(D$18)*KVEinst</f>
        <v>6.2999999999999989</v>
      </c>
      <c r="E32" s="54">
        <f>+(E$18)*KVEinst</f>
        <v>0</v>
      </c>
      <c r="F32" s="54">
        <f>+(F$18)*KVEinst</f>
        <v>0</v>
      </c>
      <c r="G32" s="54">
        <f>+(G$18)*KVEinst</f>
        <v>0</v>
      </c>
      <c r="H32" s="54">
        <f>+(H$18)*KVEinst</f>
        <v>0</v>
      </c>
      <c r="J32" s="54">
        <f>+D32*INDEX(VinnustPrFjolsk_Ar1,1,3)</f>
        <v>566.99999999999989</v>
      </c>
      <c r="K32" s="54">
        <f>+E32*INDEX(VinnustPrFjolsk_Ar1,1,3)</f>
        <v>0</v>
      </c>
      <c r="L32" s="54">
        <f>+F32*INDEX(VinnustPrFjolsk_Ar1,3,1)</f>
        <v>0</v>
      </c>
      <c r="M32" s="54">
        <f>+G32*INDEX(VinnustPrFjolsk_Ar1,3,1)</f>
        <v>0</v>
      </c>
      <c r="N32" s="54">
        <f>+H32*INDEX(VinnustPrFjolsk_Ar1,3,1)</f>
        <v>0</v>
      </c>
      <c r="O32" s="54"/>
    </row>
    <row r="33" spans="2:15" x14ac:dyDescent="0.3">
      <c r="B33" s="45" t="s">
        <v>224</v>
      </c>
      <c r="C33" s="256"/>
      <c r="D33" s="54">
        <f>+(D$18)*KVHjon/2</f>
        <v>3.8500000000000005</v>
      </c>
      <c r="E33" s="54">
        <f>+(E$18)*KVHjon/2</f>
        <v>0</v>
      </c>
      <c r="F33" s="54">
        <f>+(F$18)*KVHjon/2</f>
        <v>0</v>
      </c>
      <c r="G33" s="54">
        <f>+(G$18)*KVHjon/2</f>
        <v>0</v>
      </c>
      <c r="H33" s="54">
        <f>+(H$18)*KVHjon/2</f>
        <v>0</v>
      </c>
      <c r="J33" s="54">
        <f>+D33*INDEX(VinnustPrFjolsk_Ar1,2,3)</f>
        <v>379.22499615000004</v>
      </c>
      <c r="K33" s="54">
        <f>+E33*INDEX(VinnustPrFjolsk_Ar1,3,2)</f>
        <v>0</v>
      </c>
      <c r="L33" s="54">
        <f>+F33*INDEX(VinnustPrFjolsk_Ar1,3,2)</f>
        <v>0</v>
      </c>
      <c r="M33" s="54">
        <f>+G33*INDEX(VinnustPrFjolsk_Ar1,3,2)</f>
        <v>0</v>
      </c>
      <c r="N33" s="54">
        <f>+H33*INDEX(VinnustPrFjolsk_Ar1,3,2)</f>
        <v>0</v>
      </c>
      <c r="O33" s="54"/>
    </row>
    <row r="34" spans="2:15" x14ac:dyDescent="0.3">
      <c r="B34" s="45" t="s">
        <v>210</v>
      </c>
      <c r="C34" s="256"/>
      <c r="D34" s="54">
        <f>+D19</f>
        <v>20</v>
      </c>
      <c r="E34" s="54">
        <f>+E19</f>
        <v>0</v>
      </c>
      <c r="F34" s="54">
        <f>+F19</f>
        <v>0</v>
      </c>
      <c r="G34" s="54">
        <f>+G19</f>
        <v>0</v>
      </c>
      <c r="H34" s="54">
        <f>+H19</f>
        <v>0</v>
      </c>
      <c r="J34" s="54">
        <f>+D34*INDEX(VinnustPrFjolsk_Ar1,3,3)</f>
        <v>260</v>
      </c>
      <c r="K34" s="54">
        <f>+E34*INDEX(VinnustPrFjolsk_Ar1,3,3)</f>
        <v>0</v>
      </c>
      <c r="L34" s="54">
        <f>+F34*INDEX(VinnustPrFjolsk_Ar1,3,3)</f>
        <v>0</v>
      </c>
      <c r="M34" s="54">
        <f>+G34*INDEX(VinnustPrFjolsk_Ar1,3,3)</f>
        <v>0</v>
      </c>
      <c r="N34" s="54">
        <f>+H34*INDEX(VinnustPrFjolsk_Ar1,3,3)</f>
        <v>0</v>
      </c>
      <c r="O34" s="54"/>
    </row>
    <row r="35" spans="2:15" x14ac:dyDescent="0.3">
      <c r="B35" s="53" t="s">
        <v>222</v>
      </c>
      <c r="C35" s="256"/>
      <c r="D35" s="54"/>
      <c r="E35" s="54"/>
      <c r="F35" s="54"/>
      <c r="G35" s="54"/>
      <c r="H35" s="54"/>
    </row>
    <row r="36" spans="2:15" x14ac:dyDescent="0.3">
      <c r="B36" s="45" t="s">
        <v>223</v>
      </c>
      <c r="C36" s="256"/>
      <c r="D36" s="54">
        <f>+(D$21)*FJEinst</f>
        <v>31.499999999999996</v>
      </c>
      <c r="E36" s="54">
        <f>+(E$21)*FJEinst</f>
        <v>0</v>
      </c>
      <c r="F36" s="54">
        <f>+(F$21)*FJEinst</f>
        <v>0</v>
      </c>
      <c r="G36" s="54">
        <f>+(G$21)*FJEinst</f>
        <v>0</v>
      </c>
      <c r="H36" s="54">
        <f>+(H$21)*FJEinst</f>
        <v>0</v>
      </c>
      <c r="J36" s="54">
        <f>+D36*INDEX(VinnustPrFjolsk_Ar1,1,2)</f>
        <v>2236.4999999999995</v>
      </c>
      <c r="K36" s="54">
        <f>+E36*INDEX(VinnustPrFjolsk_Ar1,1,2)</f>
        <v>0</v>
      </c>
      <c r="L36" s="54">
        <f>+F36*INDEX(VinnustPrFjolsk_Ar1,1,2)</f>
        <v>0</v>
      </c>
      <c r="M36" s="54">
        <f>+G36*INDEX(VinnustPrFjolsk_Ar1,1,2)</f>
        <v>0</v>
      </c>
      <c r="N36" s="54">
        <f>+H36*INDEX(VinnustPrFjolsk_Ar1,1,2)</f>
        <v>0</v>
      </c>
      <c r="O36" s="54"/>
    </row>
    <row r="37" spans="2:15" x14ac:dyDescent="0.3">
      <c r="B37" s="45" t="s">
        <v>224</v>
      </c>
      <c r="C37" s="256"/>
      <c r="D37" s="54">
        <f>+(D$21)*FJHjon/2</f>
        <v>19.25</v>
      </c>
      <c r="E37" s="54">
        <f>+(E$21)*FJHjon/2</f>
        <v>0</v>
      </c>
      <c r="F37" s="54">
        <f>+(F$21)*FJHjon/2</f>
        <v>0</v>
      </c>
      <c r="G37" s="54">
        <f>+(G$21)*FJHjon/2</f>
        <v>0</v>
      </c>
      <c r="H37" s="54">
        <f>+(H$21)*FJHjon/2</f>
        <v>0</v>
      </c>
      <c r="J37" s="54">
        <f>+D37*INDEX(VinnustPrFjolsk_Ar1,2,2)</f>
        <v>1530.3749807500001</v>
      </c>
      <c r="K37" s="54">
        <f>+E37*INDEX(VinnustPrFjolsk_Ar1,2,2)</f>
        <v>0</v>
      </c>
      <c r="L37" s="54">
        <f>+F37*INDEX(VinnustPrFjolsk_Ar1,2,2)</f>
        <v>0</v>
      </c>
      <c r="M37" s="54">
        <f>+G37*INDEX(VinnustPrFjolsk_Ar1,2,2)</f>
        <v>0</v>
      </c>
      <c r="N37" s="54">
        <f>+H37*INDEX(VinnustPrFjolsk_Ar1,2,2)</f>
        <v>0</v>
      </c>
      <c r="O37" s="54"/>
    </row>
    <row r="38" spans="2:15" x14ac:dyDescent="0.3">
      <c r="B38" s="56" t="s">
        <v>210</v>
      </c>
      <c r="C38" s="258"/>
      <c r="D38" s="61">
        <f>+D22</f>
        <v>69</v>
      </c>
      <c r="E38" s="61">
        <f>+E22</f>
        <v>0</v>
      </c>
      <c r="F38" s="61">
        <f>+F22</f>
        <v>0</v>
      </c>
      <c r="G38" s="61">
        <f>+G22</f>
        <v>0</v>
      </c>
      <c r="H38" s="61">
        <f>+H22</f>
        <v>0</v>
      </c>
      <c r="J38" s="61">
        <f>+D38*INDEX(VinnustPrFjolsk_Ar1,3,2)</f>
        <v>931.5</v>
      </c>
      <c r="K38" s="61">
        <f>+E38*INDEX(VinnustPrFjolsk_Ar1,3,2)</f>
        <v>0</v>
      </c>
      <c r="L38" s="61">
        <f>+F38*INDEX(VinnustPrFjolsk_Ar1,3,2)</f>
        <v>0</v>
      </c>
      <c r="M38" s="61">
        <f>+G38*INDEX(VinnustPrFjolsk_Ar1,3,2)</f>
        <v>0</v>
      </c>
      <c r="N38" s="61">
        <f>+H38*INDEX(VinnustPrFjolsk_Ar1,3,2)</f>
        <v>0</v>
      </c>
      <c r="O38" s="55"/>
    </row>
    <row r="39" spans="2:15" x14ac:dyDescent="0.3">
      <c r="B39" s="47" t="s">
        <v>232</v>
      </c>
      <c r="C39" s="263"/>
      <c r="D39" s="251"/>
      <c r="E39" s="251"/>
      <c r="F39" s="251"/>
      <c r="G39" s="251"/>
      <c r="H39" s="251"/>
      <c r="J39" s="47" t="s">
        <v>267</v>
      </c>
    </row>
    <row r="40" spans="2:15" x14ac:dyDescent="0.3">
      <c r="B40" s="53" t="s">
        <v>233</v>
      </c>
      <c r="C40" s="256"/>
      <c r="D40" s="46"/>
      <c r="E40" s="46"/>
      <c r="F40" s="46"/>
      <c r="G40" s="46"/>
      <c r="H40" s="46"/>
    </row>
    <row r="41" spans="2:15" x14ac:dyDescent="0.3">
      <c r="B41" s="45" t="s">
        <v>223</v>
      </c>
      <c r="C41" s="256" t="s">
        <v>252</v>
      </c>
      <c r="D41" s="267">
        <f>3+28+56+2</f>
        <v>89</v>
      </c>
      <c r="E41" s="54">
        <f>+D28</f>
        <v>68</v>
      </c>
      <c r="F41" s="54">
        <f t="shared" ref="F41:H41" si="11">+E28</f>
        <v>0</v>
      </c>
      <c r="G41" s="54">
        <f t="shared" si="11"/>
        <v>0</v>
      </c>
      <c r="H41" s="54">
        <f t="shared" si="11"/>
        <v>0</v>
      </c>
      <c r="J41" s="54">
        <f>+D41*INDEX(VinnustPrFjolsk_Ar2,1,1)</f>
        <v>2403</v>
      </c>
      <c r="K41" s="54">
        <f>+E41*INDEX(VinnustPrFjolsk_Ar2,1,1)</f>
        <v>1836</v>
      </c>
      <c r="L41" s="54">
        <f>+F41*INDEX(VinnustPrFjolsk_Ar2,1,1)</f>
        <v>0</v>
      </c>
      <c r="M41" s="54">
        <f>+G41*INDEX(VinnustPrFjolsk_Ar2,1,1)</f>
        <v>0</v>
      </c>
      <c r="N41" s="54">
        <f>+H41*INDEX(VinnustPrFjolsk_Ar2,1,1)</f>
        <v>0</v>
      </c>
      <c r="O41" s="54"/>
    </row>
    <row r="42" spans="2:15" x14ac:dyDescent="0.3">
      <c r="B42" s="45" t="s">
        <v>224</v>
      </c>
      <c r="C42" s="254" t="s">
        <v>253</v>
      </c>
      <c r="D42" s="267">
        <f>2+10+9+9</f>
        <v>30</v>
      </c>
      <c r="E42" s="54">
        <f>+D29</f>
        <v>34</v>
      </c>
      <c r="F42" s="54">
        <f t="shared" ref="F42:H42" si="12">+E29</f>
        <v>0</v>
      </c>
      <c r="G42" s="54">
        <f t="shared" si="12"/>
        <v>0</v>
      </c>
      <c r="H42" s="54">
        <f t="shared" si="12"/>
        <v>0</v>
      </c>
      <c r="J42" s="54">
        <f>+D42*INDEX(VinnustPrFjolsk_Ar2,2,1)</f>
        <v>945</v>
      </c>
      <c r="K42" s="54">
        <f>+E42*INDEX(VinnustPrFjolsk_Ar2,2,1)</f>
        <v>1071</v>
      </c>
      <c r="L42" s="54">
        <f>+F42*INDEX(VinnustPrFjolsk_Ar2,2,1)</f>
        <v>0</v>
      </c>
      <c r="M42" s="54">
        <f>+G42*INDEX(VinnustPrFjolsk_Ar2,2,1)</f>
        <v>0</v>
      </c>
      <c r="N42" s="54">
        <f>+H42*INDEX(VinnustPrFjolsk_Ar2,2,1)</f>
        <v>0</v>
      </c>
      <c r="O42" s="54"/>
    </row>
    <row r="43" spans="2:15" x14ac:dyDescent="0.3">
      <c r="B43" s="45" t="s">
        <v>210</v>
      </c>
      <c r="C43" s="254" t="s">
        <v>254</v>
      </c>
      <c r="D43" s="267">
        <f>7+60+25</f>
        <v>92</v>
      </c>
      <c r="E43" s="54">
        <f>+D30</f>
        <v>56</v>
      </c>
      <c r="F43" s="54">
        <f t="shared" ref="F43:H43" si="13">+E30</f>
        <v>0</v>
      </c>
      <c r="G43" s="54">
        <f t="shared" si="13"/>
        <v>0</v>
      </c>
      <c r="H43" s="54">
        <f t="shared" si="13"/>
        <v>0</v>
      </c>
      <c r="J43" s="54">
        <f>+D43*INDEX(VinnustPrFjolsk_Ar2,3,1)</f>
        <v>276</v>
      </c>
      <c r="K43" s="54">
        <f>+E43*INDEX(VinnustPrFjolsk_Ar2,3,1)</f>
        <v>168</v>
      </c>
      <c r="L43" s="54">
        <f>+F43*INDEX(VinnustPrFjolsk_Ar2,3,1)</f>
        <v>0</v>
      </c>
      <c r="M43" s="54">
        <f>+G43*INDEX(VinnustPrFjolsk_Ar2,3,1)</f>
        <v>0</v>
      </c>
      <c r="N43" s="54">
        <f>+H43*INDEX(VinnustPrFjolsk_Ar2,3,1)</f>
        <v>0</v>
      </c>
      <c r="O43" s="54"/>
    </row>
    <row r="44" spans="2:15" x14ac:dyDescent="0.3">
      <c r="B44" s="53" t="s">
        <v>234</v>
      </c>
      <c r="C44" s="254" t="s">
        <v>255</v>
      </c>
      <c r="D44" s="268"/>
      <c r="E44" s="54"/>
      <c r="F44" s="54"/>
      <c r="G44" s="54"/>
      <c r="H44" s="54"/>
    </row>
    <row r="45" spans="2:15" x14ac:dyDescent="0.3">
      <c r="B45" s="45" t="s">
        <v>223</v>
      </c>
      <c r="C45" s="256"/>
      <c r="D45" s="267">
        <f>1+48+4</f>
        <v>53</v>
      </c>
      <c r="E45" s="54">
        <f>+D32</f>
        <v>6.2999999999999989</v>
      </c>
      <c r="F45" s="54">
        <f t="shared" ref="F45:H45" si="14">+E32</f>
        <v>0</v>
      </c>
      <c r="G45" s="54">
        <f t="shared" si="14"/>
        <v>0</v>
      </c>
      <c r="H45" s="54">
        <f t="shared" si="14"/>
        <v>0</v>
      </c>
      <c r="J45" s="54">
        <f>+D45*INDEX(VinnustPrFjolsk_Ar2,1,3)</f>
        <v>1590</v>
      </c>
      <c r="K45" s="54">
        <f>+E45*INDEX(VinnustPrFjolsk_Ar2,1,3)</f>
        <v>188.99999999999997</v>
      </c>
      <c r="L45" s="54">
        <f>+F45*INDEX(VinnustPrFjolsk_Ar2,1,3)</f>
        <v>0</v>
      </c>
      <c r="M45" s="54">
        <f>+G45*INDEX(VinnustPrFjolsk_Ar2,1,3)</f>
        <v>0</v>
      </c>
      <c r="N45" s="54">
        <f>+H45*INDEX(VinnustPrFjolsk_Ar2,1,3)</f>
        <v>0</v>
      </c>
      <c r="O45" s="54"/>
    </row>
    <row r="46" spans="2:15" x14ac:dyDescent="0.3">
      <c r="B46" s="45" t="s">
        <v>224</v>
      </c>
      <c r="C46" s="256"/>
      <c r="D46" s="267">
        <f>3+23+2</f>
        <v>28</v>
      </c>
      <c r="E46" s="54">
        <f>+D33</f>
        <v>3.8500000000000005</v>
      </c>
      <c r="F46" s="54">
        <f t="shared" ref="F46:H46" si="15">+E33</f>
        <v>0</v>
      </c>
      <c r="G46" s="54">
        <f t="shared" si="15"/>
        <v>0</v>
      </c>
      <c r="H46" s="54">
        <f t="shared" si="15"/>
        <v>0</v>
      </c>
      <c r="J46" s="54">
        <f>+D46*INDEX(VinnustPrFjolsk_Ar2,2,3)</f>
        <v>966</v>
      </c>
      <c r="K46" s="54">
        <f>+E46*INDEX(VinnustPrFjolsk_Ar2,2,3)</f>
        <v>132.82500000000002</v>
      </c>
      <c r="L46" s="54">
        <f>+F46*INDEX(VinnustPrFjolsk_Ar2,2,3)</f>
        <v>0</v>
      </c>
      <c r="M46" s="54">
        <f>+G46*INDEX(VinnustPrFjolsk_Ar2,2,3)</f>
        <v>0</v>
      </c>
      <c r="N46" s="54">
        <f>+H46*INDEX(VinnustPrFjolsk_Ar2,2,3)</f>
        <v>0</v>
      </c>
      <c r="O46" s="54"/>
    </row>
    <row r="47" spans="2:15" x14ac:dyDescent="0.3">
      <c r="B47" s="45" t="s">
        <v>210</v>
      </c>
      <c r="C47" s="256"/>
      <c r="D47" s="267">
        <f>10+11+5</f>
        <v>26</v>
      </c>
      <c r="E47" s="54">
        <f>+D34</f>
        <v>20</v>
      </c>
      <c r="F47" s="54">
        <f t="shared" ref="F47:H47" si="16">+E34</f>
        <v>0</v>
      </c>
      <c r="G47" s="54">
        <f t="shared" si="16"/>
        <v>0</v>
      </c>
      <c r="H47" s="54">
        <f t="shared" si="16"/>
        <v>0</v>
      </c>
      <c r="J47" s="54">
        <f>+D47*INDEX(VinnustPrFjolsk_Ar2,3,3)</f>
        <v>78</v>
      </c>
      <c r="K47" s="54">
        <f>+E47*INDEX(VinnustPrFjolsk_Ar2,3,3)</f>
        <v>60</v>
      </c>
      <c r="L47" s="54">
        <f>+F47*INDEX(VinnustPrFjolsk_Ar2,3,3)</f>
        <v>0</v>
      </c>
      <c r="M47" s="54">
        <f>+G47*INDEX(VinnustPrFjolsk_Ar2,3,3)</f>
        <v>0</v>
      </c>
      <c r="N47" s="54">
        <f>+H47*INDEX(VinnustPrFjolsk_Ar2,3,3)</f>
        <v>0</v>
      </c>
      <c r="O47" s="54"/>
    </row>
    <row r="48" spans="2:15" x14ac:dyDescent="0.3">
      <c r="B48" s="53" t="s">
        <v>235</v>
      </c>
      <c r="C48" s="256"/>
      <c r="D48" s="267"/>
      <c r="E48" s="54"/>
      <c r="F48" s="54"/>
      <c r="G48" s="54"/>
      <c r="H48" s="54"/>
    </row>
    <row r="49" spans="2:15" x14ac:dyDescent="0.3">
      <c r="B49" s="45" t="s">
        <v>223</v>
      </c>
      <c r="C49" s="256"/>
      <c r="D49" s="267">
        <v>0</v>
      </c>
      <c r="E49" s="54">
        <f>+D36</f>
        <v>31.499999999999996</v>
      </c>
      <c r="F49" s="54">
        <f t="shared" ref="F49:H49" si="17">+E36</f>
        <v>0</v>
      </c>
      <c r="G49" s="54">
        <f t="shared" si="17"/>
        <v>0</v>
      </c>
      <c r="H49" s="54">
        <f t="shared" si="17"/>
        <v>0</v>
      </c>
      <c r="J49" s="54">
        <f>+D49*INDEX(VinnustPrFjolsk_Ar2,1,2)</f>
        <v>0</v>
      </c>
      <c r="K49" s="54">
        <f>+E49*INDEX(VinnustPrFjolsk_Ar2,1,2)</f>
        <v>850.49999999999989</v>
      </c>
      <c r="L49" s="54">
        <f>+F49*INDEX(VinnustPrFjolsk_Ar2,1,2)</f>
        <v>0</v>
      </c>
      <c r="M49" s="54">
        <f>+G49*INDEX(VinnustPrFjolsk_Ar2,1,2)</f>
        <v>0</v>
      </c>
      <c r="N49" s="54">
        <f>+H49*INDEX(VinnustPrFjolsk_Ar2,1,2)</f>
        <v>0</v>
      </c>
      <c r="O49" s="54"/>
    </row>
    <row r="50" spans="2:15" x14ac:dyDescent="0.3">
      <c r="B50" s="45" t="s">
        <v>224</v>
      </c>
      <c r="C50" s="256"/>
      <c r="D50" s="267">
        <v>0</v>
      </c>
      <c r="E50" s="54">
        <f>+D37</f>
        <v>19.25</v>
      </c>
      <c r="F50" s="54">
        <f t="shared" ref="F50:H50" si="18">+E37</f>
        <v>0</v>
      </c>
      <c r="G50" s="54">
        <f t="shared" si="18"/>
        <v>0</v>
      </c>
      <c r="H50" s="54">
        <f t="shared" si="18"/>
        <v>0</v>
      </c>
      <c r="J50" s="54">
        <f>+D50*INDEX(VinnustPrFjolsk_Ar2,2,2)</f>
        <v>0</v>
      </c>
      <c r="K50" s="54">
        <f>+E50*INDEX(VinnustPrFjolsk_Ar2,2,2)</f>
        <v>606.375</v>
      </c>
      <c r="L50" s="54">
        <f>+F50*INDEX(VinnustPrFjolsk_Ar2,2,2)</f>
        <v>0</v>
      </c>
      <c r="M50" s="54">
        <f>+G50*INDEX(VinnustPrFjolsk_Ar2,2,2)</f>
        <v>0</v>
      </c>
      <c r="N50" s="54">
        <f>+H50*INDEX(VinnustPrFjolsk_Ar2,2,2)</f>
        <v>0</v>
      </c>
      <c r="O50" s="54"/>
    </row>
    <row r="51" spans="2:15" x14ac:dyDescent="0.3">
      <c r="B51" s="56" t="s">
        <v>210</v>
      </c>
      <c r="C51" s="258"/>
      <c r="D51" s="269">
        <v>0</v>
      </c>
      <c r="E51" s="61">
        <f>+D38</f>
        <v>69</v>
      </c>
      <c r="F51" s="61">
        <f t="shared" ref="F51:H51" si="19">+E38</f>
        <v>0</v>
      </c>
      <c r="G51" s="61">
        <f t="shared" si="19"/>
        <v>0</v>
      </c>
      <c r="H51" s="61">
        <f t="shared" si="19"/>
        <v>0</v>
      </c>
      <c r="J51" s="61">
        <f>+D51*INDEX(VinnustPrFjolsk_Ar2,3,2)</f>
        <v>0</v>
      </c>
      <c r="K51" s="61">
        <f>+E51*INDEX(VinnustPrFjolsk_Ar2,3,2)</f>
        <v>276</v>
      </c>
      <c r="L51" s="61">
        <f>+F51*INDEX(VinnustPrFjolsk_Ar2,3,2)</f>
        <v>0</v>
      </c>
      <c r="M51" s="61">
        <f>+G51*INDEX(VinnustPrFjolsk_Ar2,3,2)</f>
        <v>0</v>
      </c>
      <c r="N51" s="61">
        <f>+H51*INDEX(VinnustPrFjolsk_Ar2,3,2)</f>
        <v>0</v>
      </c>
      <c r="O51" s="55"/>
    </row>
    <row r="52" spans="2:15" x14ac:dyDescent="0.3">
      <c r="B52" s="47" t="s">
        <v>236</v>
      </c>
      <c r="C52" s="263"/>
      <c r="D52" s="251"/>
      <c r="E52" s="251"/>
      <c r="F52" s="251"/>
      <c r="G52" s="251"/>
      <c r="H52" s="251"/>
      <c r="J52" s="47" t="s">
        <v>268</v>
      </c>
    </row>
    <row r="53" spans="2:15" x14ac:dyDescent="0.3">
      <c r="B53" s="53" t="s">
        <v>237</v>
      </c>
      <c r="C53" s="256"/>
      <c r="D53" s="46"/>
      <c r="E53" s="46"/>
      <c r="F53" s="46"/>
      <c r="G53" s="46"/>
      <c r="H53" s="46"/>
    </row>
    <row r="54" spans="2:15" x14ac:dyDescent="0.3">
      <c r="B54" s="45" t="s">
        <v>223</v>
      </c>
      <c r="C54" s="256"/>
      <c r="D54" s="267">
        <v>0</v>
      </c>
      <c r="E54" s="54">
        <f>+D41</f>
        <v>89</v>
      </c>
      <c r="F54" s="54">
        <f>+E41</f>
        <v>68</v>
      </c>
      <c r="G54" s="54">
        <f t="shared" ref="G54:H54" si="20">+F41</f>
        <v>0</v>
      </c>
      <c r="H54" s="54">
        <f t="shared" si="20"/>
        <v>0</v>
      </c>
      <c r="J54" s="54">
        <f>+D54*INDEX(VinnustPrFjolsk_Ar3,1,1)</f>
        <v>0</v>
      </c>
      <c r="K54" s="54">
        <f>+E54*INDEX(VinnustPrFjolsk_Ar3,1,1)</f>
        <v>1602</v>
      </c>
      <c r="L54" s="54">
        <f>+F54*INDEX(VinnustPrFjolsk_Ar3,1,1)</f>
        <v>1224</v>
      </c>
      <c r="M54" s="54">
        <f>+G54*INDEX(VinnustPrFjolsk_Ar3,1,1)</f>
        <v>0</v>
      </c>
      <c r="N54" s="54">
        <f>+H54*INDEX(VinnustPrFjolsk_Ar3,1,1)</f>
        <v>0</v>
      </c>
      <c r="O54" s="54"/>
    </row>
    <row r="55" spans="2:15" x14ac:dyDescent="0.3">
      <c r="B55" s="45" t="s">
        <v>224</v>
      </c>
      <c r="C55" s="256"/>
      <c r="D55" s="267">
        <v>0</v>
      </c>
      <c r="E55" s="54">
        <f>+D42</f>
        <v>30</v>
      </c>
      <c r="F55" s="54">
        <f t="shared" ref="F55" si="21">+E42</f>
        <v>34</v>
      </c>
      <c r="G55" s="54">
        <f t="shared" ref="G55:H55" si="22">+F42</f>
        <v>0</v>
      </c>
      <c r="H55" s="54">
        <f t="shared" si="22"/>
        <v>0</v>
      </c>
      <c r="J55" s="54">
        <f>+D55*INDEX(VinnustPrFjolsk_Ar3,2,1)</f>
        <v>0</v>
      </c>
      <c r="K55" s="54">
        <f>+E55*INDEX(VinnustPrFjolsk_Ar3,2,1)</f>
        <v>540</v>
      </c>
      <c r="L55" s="54">
        <f>+F55*INDEX(VinnustPrFjolsk_Ar3,2,1)</f>
        <v>612</v>
      </c>
      <c r="M55" s="54">
        <f>+G55*INDEX(VinnustPrFjolsk_Ar3,2,1)</f>
        <v>0</v>
      </c>
      <c r="N55" s="54">
        <f>+H55*INDEX(VinnustPrFjolsk_Ar3,2,1)</f>
        <v>0</v>
      </c>
      <c r="O55" s="54"/>
    </row>
    <row r="56" spans="2:15" x14ac:dyDescent="0.3">
      <c r="B56" s="45" t="s">
        <v>210</v>
      </c>
      <c r="C56" s="256"/>
      <c r="D56" s="267">
        <v>0</v>
      </c>
      <c r="E56" s="54">
        <f>+D43</f>
        <v>92</v>
      </c>
      <c r="F56" s="54">
        <f t="shared" ref="F56" si="23">+E43</f>
        <v>56</v>
      </c>
      <c r="G56" s="54">
        <f t="shared" ref="G56:H56" si="24">+F43</f>
        <v>0</v>
      </c>
      <c r="H56" s="54">
        <f t="shared" si="24"/>
        <v>0</v>
      </c>
      <c r="J56" s="54">
        <f>+D56*INDEX(VinnustPrFjolsk_Ar3,3,1)</f>
        <v>0</v>
      </c>
      <c r="K56" s="54">
        <f>+E56*INDEX(VinnustPrFjolsk_Ar3,3,1)</f>
        <v>92</v>
      </c>
      <c r="L56" s="54">
        <f>+F56*INDEX(VinnustPrFjolsk_Ar3,3,1)</f>
        <v>56</v>
      </c>
      <c r="M56" s="54">
        <f>+G56*INDEX(VinnustPrFjolsk_Ar3,3,1)</f>
        <v>0</v>
      </c>
      <c r="N56" s="54">
        <f>+H56*INDEX(VinnustPrFjolsk_Ar3,3,1)</f>
        <v>0</v>
      </c>
      <c r="O56" s="54"/>
    </row>
    <row r="57" spans="2:15" x14ac:dyDescent="0.3">
      <c r="B57" s="53" t="s">
        <v>238</v>
      </c>
      <c r="C57" s="256"/>
      <c r="D57" s="268"/>
      <c r="E57" s="54"/>
      <c r="F57" s="54"/>
      <c r="G57" s="54"/>
      <c r="H57" s="54"/>
    </row>
    <row r="58" spans="2:15" x14ac:dyDescent="0.3">
      <c r="B58" s="45" t="s">
        <v>223</v>
      </c>
      <c r="C58" s="256"/>
      <c r="D58" s="267">
        <v>0</v>
      </c>
      <c r="E58" s="54">
        <f t="shared" ref="E58" si="25">+D45</f>
        <v>53</v>
      </c>
      <c r="F58" s="54">
        <f t="shared" ref="F58" si="26">+E45</f>
        <v>6.2999999999999989</v>
      </c>
      <c r="G58" s="54">
        <f t="shared" ref="G58:H58" si="27">+F45</f>
        <v>0</v>
      </c>
      <c r="H58" s="54">
        <f t="shared" si="27"/>
        <v>0</v>
      </c>
      <c r="J58" s="54">
        <f>+D58*INDEX(VinnustPrFjolsk_Ar3,1,3)</f>
        <v>0</v>
      </c>
      <c r="K58" s="54">
        <f>+E58*INDEX(VinnustPrFjolsk_Ar3,1,3)</f>
        <v>954</v>
      </c>
      <c r="L58" s="54">
        <f>+F58*INDEX(VinnustPrFjolsk_Ar3,1,3)</f>
        <v>113.39999999999998</v>
      </c>
      <c r="M58" s="54">
        <f>+G58*INDEX(VinnustPrFjolsk_Ar3,1,3)</f>
        <v>0</v>
      </c>
      <c r="N58" s="54">
        <f>+H58*INDEX(VinnustPrFjolsk_Ar3,1,3)</f>
        <v>0</v>
      </c>
      <c r="O58" s="54"/>
    </row>
    <row r="59" spans="2:15" x14ac:dyDescent="0.3">
      <c r="B59" s="45" t="s">
        <v>224</v>
      </c>
      <c r="C59" s="256"/>
      <c r="D59" s="267">
        <v>0</v>
      </c>
      <c r="E59" s="54">
        <f t="shared" ref="E59" si="28">+D46</f>
        <v>28</v>
      </c>
      <c r="F59" s="54">
        <f t="shared" ref="F59" si="29">+E46</f>
        <v>3.8500000000000005</v>
      </c>
      <c r="G59" s="54">
        <f t="shared" ref="G59:H59" si="30">+F46</f>
        <v>0</v>
      </c>
      <c r="H59" s="54">
        <f t="shared" si="30"/>
        <v>0</v>
      </c>
      <c r="J59" s="54">
        <f>+D59*INDEX(VinnustPrFjolsk_Ar3,2,3)</f>
        <v>0</v>
      </c>
      <c r="K59" s="54">
        <f>+E59*INDEX(VinnustPrFjolsk_Ar3,2,3)</f>
        <v>504</v>
      </c>
      <c r="L59" s="54">
        <f>+F59*INDEX(VinnustPrFjolsk_Ar3,2,3)</f>
        <v>69.300000000000011</v>
      </c>
      <c r="M59" s="54">
        <f>+G59*INDEX(VinnustPrFjolsk_Ar3,2,3)</f>
        <v>0</v>
      </c>
      <c r="N59" s="54">
        <f>+H59*INDEX(VinnustPrFjolsk_Ar3,2,3)</f>
        <v>0</v>
      </c>
      <c r="O59" s="54"/>
    </row>
    <row r="60" spans="2:15" x14ac:dyDescent="0.3">
      <c r="B60" s="45" t="s">
        <v>210</v>
      </c>
      <c r="C60" s="256"/>
      <c r="D60" s="267">
        <v>0</v>
      </c>
      <c r="E60" s="54">
        <f t="shared" ref="E60" si="31">+D47</f>
        <v>26</v>
      </c>
      <c r="F60" s="54">
        <f t="shared" ref="F60" si="32">+E47</f>
        <v>20</v>
      </c>
      <c r="G60" s="54">
        <f t="shared" ref="G60:H60" si="33">+F47</f>
        <v>0</v>
      </c>
      <c r="H60" s="54">
        <f t="shared" si="33"/>
        <v>0</v>
      </c>
      <c r="J60" s="54">
        <f>+D60*INDEX(VinnustPrFjolsk_Ar3,3,3)</f>
        <v>0</v>
      </c>
      <c r="K60" s="54">
        <f>+E60*INDEX(VinnustPrFjolsk_Ar3,3,3)</f>
        <v>26</v>
      </c>
      <c r="L60" s="54">
        <f>+F60*INDEX(VinnustPrFjolsk_Ar3,3,3)</f>
        <v>20</v>
      </c>
      <c r="M60" s="54">
        <f>+G60*INDEX(VinnustPrFjolsk_Ar3,3,3)</f>
        <v>0</v>
      </c>
      <c r="N60" s="54">
        <f>+H60*INDEX(VinnustPrFjolsk_Ar3,3,3)</f>
        <v>0</v>
      </c>
      <c r="O60" s="54"/>
    </row>
    <row r="61" spans="2:15" x14ac:dyDescent="0.3">
      <c r="B61" s="53" t="s">
        <v>239</v>
      </c>
      <c r="C61" s="256"/>
      <c r="D61" s="267"/>
      <c r="E61" s="54"/>
      <c r="F61" s="54"/>
      <c r="G61" s="54"/>
      <c r="H61" s="54"/>
    </row>
    <row r="62" spans="2:15" x14ac:dyDescent="0.3">
      <c r="B62" s="45" t="s">
        <v>223</v>
      </c>
      <c r="C62" s="256"/>
      <c r="D62" s="267">
        <v>0</v>
      </c>
      <c r="E62" s="54">
        <f t="shared" ref="E62" si="34">+D49</f>
        <v>0</v>
      </c>
      <c r="F62" s="54">
        <f t="shared" ref="F62" si="35">+E49</f>
        <v>31.499999999999996</v>
      </c>
      <c r="G62" s="54">
        <f t="shared" ref="G62:H62" si="36">+F49</f>
        <v>0</v>
      </c>
      <c r="H62" s="54">
        <f t="shared" si="36"/>
        <v>0</v>
      </c>
      <c r="J62" s="54">
        <f>+D62*INDEX(VinnustPrFjolsk_Ar3,1,2)</f>
        <v>0</v>
      </c>
      <c r="K62" s="54">
        <f>+E62*INDEX(VinnustPrFjolsk_Ar3,1,2)</f>
        <v>0</v>
      </c>
      <c r="L62" s="54">
        <f>+F62*INDEX(VinnustPrFjolsk_Ar3,1,2)</f>
        <v>566.99999999999989</v>
      </c>
      <c r="M62" s="54">
        <f>+G62*INDEX(VinnustPrFjolsk_Ar3,1,2)</f>
        <v>0</v>
      </c>
      <c r="N62" s="54">
        <f>+H62*INDEX(VinnustPrFjolsk_Ar3,1,2)</f>
        <v>0</v>
      </c>
      <c r="O62" s="54"/>
    </row>
    <row r="63" spans="2:15" x14ac:dyDescent="0.3">
      <c r="B63" s="45" t="s">
        <v>224</v>
      </c>
      <c r="C63" s="256"/>
      <c r="D63" s="267">
        <v>0</v>
      </c>
      <c r="E63" s="54">
        <f t="shared" ref="E63" si="37">+D50</f>
        <v>0</v>
      </c>
      <c r="F63" s="54">
        <f t="shared" ref="F63" si="38">+E50</f>
        <v>19.25</v>
      </c>
      <c r="G63" s="54">
        <f t="shared" ref="G63:H63" si="39">+F50</f>
        <v>0</v>
      </c>
      <c r="H63" s="54">
        <f t="shared" si="39"/>
        <v>0</v>
      </c>
      <c r="J63" s="54">
        <f>+D63*INDEX(VinnustPrFjolsk_Ar3,2,2)</f>
        <v>0</v>
      </c>
      <c r="K63" s="54">
        <f>+E63*INDEX(VinnustPrFjolsk_Ar3,2,2)</f>
        <v>0</v>
      </c>
      <c r="L63" s="54">
        <f>+F63*INDEX(VinnustPrFjolsk_Ar3,2,2)</f>
        <v>346.5</v>
      </c>
      <c r="M63" s="54">
        <f>+G63*INDEX(VinnustPrFjolsk_Ar3,2,2)</f>
        <v>0</v>
      </c>
      <c r="N63" s="54">
        <f>+H63*INDEX(VinnustPrFjolsk_Ar3,2,2)</f>
        <v>0</v>
      </c>
      <c r="O63" s="54"/>
    </row>
    <row r="64" spans="2:15" x14ac:dyDescent="0.3">
      <c r="B64" s="56" t="s">
        <v>210</v>
      </c>
      <c r="C64" s="258"/>
      <c r="D64" s="269">
        <v>0</v>
      </c>
      <c r="E64" s="61">
        <f t="shared" ref="E64" si="40">+D51</f>
        <v>0</v>
      </c>
      <c r="F64" s="61">
        <f t="shared" ref="F64" si="41">+E51</f>
        <v>69</v>
      </c>
      <c r="G64" s="61">
        <f t="shared" ref="G64:H64" si="42">+F51</f>
        <v>0</v>
      </c>
      <c r="H64" s="61">
        <f t="shared" si="42"/>
        <v>0</v>
      </c>
      <c r="J64" s="61">
        <f>+D64*INDEX(VinnustPrFjolsk_Ar3,3,2)</f>
        <v>0</v>
      </c>
      <c r="K64" s="61">
        <f>+E64*INDEX(VinnustPrFjolsk_Ar3,3,2)</f>
        <v>0</v>
      </c>
      <c r="L64" s="61">
        <f>+F64*INDEX(VinnustPrFjolsk_Ar3,3,2)</f>
        <v>69</v>
      </c>
      <c r="M64" s="61">
        <f>+G64*INDEX(VinnustPrFjolsk_Ar3,3,2)</f>
        <v>0</v>
      </c>
      <c r="N64" s="61">
        <f>+H64*INDEX(VinnustPrFjolsk_Ar3,3,2)</f>
        <v>0</v>
      </c>
      <c r="O64" s="55"/>
    </row>
  </sheetData>
  <mergeCells count="1">
    <mergeCell ref="D1:H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92"/>
  <sheetViews>
    <sheetView zoomScale="90" zoomScaleNormal="90" workbookViewId="0">
      <selection activeCell="B4" sqref="B4"/>
    </sheetView>
  </sheetViews>
  <sheetFormatPr defaultRowHeight="14.4" x14ac:dyDescent="0.3"/>
  <cols>
    <col min="1" max="1" width="46.5546875" customWidth="1"/>
    <col min="2" max="3" width="13.88671875" customWidth="1"/>
    <col min="4" max="4" width="14.88671875" customWidth="1"/>
    <col min="5" max="5" width="5.77734375" customWidth="1"/>
    <col min="6" max="6" width="63.88671875" customWidth="1"/>
    <col min="7" max="7" width="3.5546875" style="11" customWidth="1"/>
    <col min="8" max="10" width="13.33203125" customWidth="1"/>
    <col min="11" max="11" width="32.109375" customWidth="1"/>
  </cols>
  <sheetData>
    <row r="1" spans="1:35" ht="34.5" customHeight="1" x14ac:dyDescent="0.3">
      <c r="A1" s="68" t="s">
        <v>67</v>
      </c>
      <c r="F1" s="248" t="s">
        <v>207</v>
      </c>
      <c r="T1" s="11"/>
      <c r="U1" s="59" t="s">
        <v>60</v>
      </c>
      <c r="V1" s="58"/>
      <c r="W1" s="58"/>
      <c r="X1" s="58"/>
      <c r="Y1" s="58"/>
      <c r="Z1" s="58"/>
      <c r="AA1" s="11"/>
      <c r="AB1" s="25"/>
      <c r="AC1" s="25"/>
      <c r="AD1" s="25"/>
      <c r="AE1" s="11"/>
      <c r="AF1" s="11"/>
      <c r="AG1" s="11"/>
      <c r="AH1" s="11"/>
      <c r="AI1" s="11"/>
    </row>
    <row r="2" spans="1:35" x14ac:dyDescent="0.3">
      <c r="A2" s="1" t="s">
        <v>2</v>
      </c>
      <c r="B2" s="6">
        <f>+C18</f>
        <v>741460</v>
      </c>
      <c r="C2" s="1"/>
      <c r="E2" s="1"/>
      <c r="F2" s="1"/>
      <c r="G2" s="8"/>
      <c r="T2" s="11"/>
      <c r="U2" s="17"/>
      <c r="V2" s="17"/>
      <c r="W2" s="17"/>
      <c r="X2" s="17"/>
      <c r="Y2" s="17"/>
      <c r="Z2" s="17"/>
      <c r="AA2" s="11"/>
      <c r="AB2" s="17"/>
      <c r="AC2" s="17"/>
      <c r="AD2" s="17"/>
      <c r="AE2" s="11"/>
      <c r="AF2" s="11"/>
      <c r="AG2" s="11"/>
      <c r="AH2" s="11"/>
      <c r="AI2" s="11"/>
    </row>
    <row r="3" spans="1:35" x14ac:dyDescent="0.3">
      <c r="A3" s="1" t="s">
        <v>291</v>
      </c>
      <c r="B3" s="6">
        <f>+C19</f>
        <v>1081048.68</v>
      </c>
      <c r="F3" s="1" t="s">
        <v>284</v>
      </c>
      <c r="S3" s="13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x14ac:dyDescent="0.3">
      <c r="A4" s="1" t="s">
        <v>256</v>
      </c>
      <c r="B4" s="301">
        <f>+C10</f>
        <v>6832.2276575999995</v>
      </c>
      <c r="C4" s="105" t="s">
        <v>257</v>
      </c>
      <c r="D4" s="62"/>
      <c r="F4" s="1"/>
    </row>
    <row r="5" spans="1:35" x14ac:dyDescent="0.3">
      <c r="A5" s="1" t="s">
        <v>293</v>
      </c>
      <c r="B5" s="300">
        <f>+C17</f>
        <v>156.0000024</v>
      </c>
      <c r="C5" s="105" t="s">
        <v>112</v>
      </c>
      <c r="F5" s="1"/>
      <c r="H5" s="3"/>
    </row>
    <row r="6" spans="1:35" x14ac:dyDescent="0.3">
      <c r="A6" s="1"/>
      <c r="B6" s="300"/>
      <c r="C6" s="105"/>
      <c r="F6" s="1"/>
      <c r="H6" s="3"/>
    </row>
    <row r="7" spans="1:35" ht="15" thickBot="1" x14ac:dyDescent="0.35">
      <c r="A7" s="48" t="s">
        <v>189</v>
      </c>
      <c r="B7" s="235" t="s">
        <v>188</v>
      </c>
      <c r="C7" s="219" t="s">
        <v>295</v>
      </c>
      <c r="F7" s="1"/>
      <c r="H7" s="3"/>
    </row>
    <row r="8" spans="1:35" ht="15" thickTop="1" x14ac:dyDescent="0.3">
      <c r="A8" s="8" t="s">
        <v>200</v>
      </c>
      <c r="B8" s="238"/>
      <c r="C8" s="110" t="s">
        <v>197</v>
      </c>
      <c r="F8" s="1"/>
      <c r="H8" s="3"/>
    </row>
    <row r="9" spans="1:35" x14ac:dyDescent="0.3">
      <c r="A9" s="71" t="s">
        <v>186</v>
      </c>
      <c r="B9" s="240" t="s">
        <v>190</v>
      </c>
      <c r="C9" s="299">
        <v>6.3200000000000001E-3</v>
      </c>
      <c r="F9" s="1" t="s">
        <v>285</v>
      </c>
      <c r="H9" s="3"/>
    </row>
    <row r="10" spans="1:35" x14ac:dyDescent="0.3">
      <c r="A10" s="71" t="s">
        <v>288</v>
      </c>
      <c r="B10" s="240" t="s">
        <v>287</v>
      </c>
      <c r="C10" s="271">
        <f>+C19*C9</f>
        <v>6832.2276575999995</v>
      </c>
      <c r="F10" s="1"/>
      <c r="H10" s="3"/>
    </row>
    <row r="11" spans="1:35" x14ac:dyDescent="0.3">
      <c r="A11" s="1" t="s">
        <v>187</v>
      </c>
      <c r="B11" s="134" t="s">
        <v>294</v>
      </c>
      <c r="C11" s="241">
        <v>21.666667</v>
      </c>
      <c r="F11" s="1"/>
      <c r="H11" s="3"/>
    </row>
    <row r="12" spans="1:35" x14ac:dyDescent="0.3">
      <c r="A12" s="239" t="s">
        <v>201</v>
      </c>
      <c r="B12" s="57" t="s">
        <v>195</v>
      </c>
      <c r="C12">
        <v>8</v>
      </c>
      <c r="F12" s="1"/>
      <c r="H12" s="3"/>
    </row>
    <row r="13" spans="1:35" x14ac:dyDescent="0.3">
      <c r="A13" s="239" t="s">
        <v>191</v>
      </c>
      <c r="B13" s="57" t="s">
        <v>196</v>
      </c>
      <c r="C13">
        <v>13</v>
      </c>
      <c r="F13" s="1" t="s">
        <v>286</v>
      </c>
      <c r="H13" s="3"/>
    </row>
    <row r="14" spans="1:35" x14ac:dyDescent="0.3">
      <c r="A14" s="239" t="s">
        <v>289</v>
      </c>
      <c r="B14" s="57" t="s">
        <v>196</v>
      </c>
      <c r="C14">
        <v>35</v>
      </c>
      <c r="H14" s="3"/>
    </row>
    <row r="15" spans="1:35" x14ac:dyDescent="0.3">
      <c r="A15" s="239" t="s">
        <v>192</v>
      </c>
      <c r="B15" s="57" t="s">
        <v>195</v>
      </c>
      <c r="C15" s="233">
        <f>+C12-(C14+C13)/60</f>
        <v>7.2</v>
      </c>
      <c r="H15" s="3"/>
    </row>
    <row r="16" spans="1:35" x14ac:dyDescent="0.3">
      <c r="A16" s="1" t="s">
        <v>290</v>
      </c>
      <c r="B16" s="134" t="s">
        <v>193</v>
      </c>
      <c r="C16" s="241">
        <f>+C15*5</f>
        <v>36</v>
      </c>
      <c r="H16" s="3"/>
    </row>
    <row r="17" spans="1:11" x14ac:dyDescent="0.3">
      <c r="A17" s="71" t="s">
        <v>292</v>
      </c>
      <c r="B17" s="240" t="s">
        <v>194</v>
      </c>
      <c r="C17" s="242">
        <f>+C15*C11</f>
        <v>156.0000024</v>
      </c>
      <c r="H17" s="3"/>
    </row>
    <row r="18" spans="1:11" x14ac:dyDescent="0.3">
      <c r="A18" s="1" t="s">
        <v>203</v>
      </c>
      <c r="B18" s="244" t="s">
        <v>205</v>
      </c>
      <c r="C18" s="245">
        <v>741460</v>
      </c>
      <c r="H18" s="3"/>
    </row>
    <row r="19" spans="1:11" x14ac:dyDescent="0.3">
      <c r="A19" s="1" t="s">
        <v>206</v>
      </c>
      <c r="B19" s="244" t="s">
        <v>205</v>
      </c>
      <c r="C19" s="245">
        <f>+C18*(1+C24)</f>
        <v>1081048.68</v>
      </c>
      <c r="H19" s="3"/>
    </row>
    <row r="20" spans="1:11" x14ac:dyDescent="0.3">
      <c r="A20" s="239" t="s">
        <v>199</v>
      </c>
      <c r="B20" s="236"/>
      <c r="C20" s="243">
        <v>0.25</v>
      </c>
      <c r="H20" s="3"/>
    </row>
    <row r="21" spans="1:11" x14ac:dyDescent="0.3">
      <c r="A21" s="239" t="s">
        <v>198</v>
      </c>
      <c r="B21" s="237">
        <f>30/(C11*12)</f>
        <v>0.11538461360946749</v>
      </c>
      <c r="C21" s="243">
        <v>0.12</v>
      </c>
      <c r="H21" s="3"/>
    </row>
    <row r="22" spans="1:11" x14ac:dyDescent="0.3">
      <c r="A22" s="239" t="s">
        <v>208</v>
      </c>
      <c r="B22" s="237">
        <f>2/(C11*12)</f>
        <v>7.692307573964499E-3</v>
      </c>
      <c r="C22" s="234">
        <v>8.0000000000000002E-3</v>
      </c>
      <c r="H22" s="3"/>
    </row>
    <row r="23" spans="1:11" x14ac:dyDescent="0.3">
      <c r="A23" s="239" t="s">
        <v>202</v>
      </c>
      <c r="B23" s="237"/>
      <c r="C23" s="234">
        <v>0.08</v>
      </c>
      <c r="H23" s="3"/>
    </row>
    <row r="24" spans="1:11" x14ac:dyDescent="0.3">
      <c r="A24" s="71" t="s">
        <v>204</v>
      </c>
      <c r="B24" s="246"/>
      <c r="C24" s="247">
        <f>SUM(C20:C23)</f>
        <v>0.45800000000000002</v>
      </c>
      <c r="H24" s="3"/>
    </row>
    <row r="26" spans="1:11" ht="15.6" x14ac:dyDescent="0.3">
      <c r="A26" s="68" t="s">
        <v>68</v>
      </c>
    </row>
    <row r="27" spans="1:11" ht="28.8" x14ac:dyDescent="0.3">
      <c r="A27" s="5"/>
      <c r="B27" s="70" t="s">
        <v>69</v>
      </c>
      <c r="C27" s="70" t="s">
        <v>225</v>
      </c>
      <c r="D27" s="69" t="s">
        <v>23</v>
      </c>
      <c r="F27" s="71" t="s">
        <v>77</v>
      </c>
      <c r="G27" s="8"/>
      <c r="H27" s="71" t="s">
        <v>53</v>
      </c>
      <c r="I27" s="5"/>
      <c r="J27" s="5"/>
      <c r="K27" s="11"/>
    </row>
    <row r="28" spans="1:11" x14ac:dyDescent="0.3">
      <c r="A28" s="72" t="s">
        <v>70</v>
      </c>
      <c r="B28" s="73">
        <v>0.6</v>
      </c>
      <c r="C28" s="73">
        <v>1</v>
      </c>
      <c r="D28" s="73">
        <v>1</v>
      </c>
      <c r="F28" s="76" t="s">
        <v>72</v>
      </c>
      <c r="G28" s="16"/>
      <c r="H28" s="74" t="s">
        <v>57</v>
      </c>
      <c r="I28" s="74" t="s">
        <v>58</v>
      </c>
      <c r="J28" s="74" t="s">
        <v>59</v>
      </c>
      <c r="K28" s="11"/>
    </row>
    <row r="29" spans="1:11" x14ac:dyDescent="0.3">
      <c r="A29" s="1" t="s">
        <v>45</v>
      </c>
      <c r="B29" s="40">
        <v>0.65</v>
      </c>
      <c r="C29" s="50">
        <v>0.5</v>
      </c>
      <c r="D29" s="40">
        <v>0.5</v>
      </c>
      <c r="F29" t="s">
        <v>73</v>
      </c>
      <c r="H29" s="253" t="s">
        <v>54</v>
      </c>
      <c r="I29" s="253" t="s">
        <v>55</v>
      </c>
      <c r="J29" s="253" t="s">
        <v>56</v>
      </c>
    </row>
    <row r="30" spans="1:11" x14ac:dyDescent="0.3">
      <c r="A30" s="1" t="s">
        <v>46</v>
      </c>
      <c r="B30" s="42">
        <v>0.35</v>
      </c>
      <c r="C30" s="51">
        <v>0.5</v>
      </c>
      <c r="D30" s="42">
        <v>0.5</v>
      </c>
      <c r="F30" t="s">
        <v>107</v>
      </c>
    </row>
    <row r="31" spans="1:11" x14ac:dyDescent="0.3">
      <c r="A31" s="5"/>
      <c r="B31" s="42">
        <f>SUM(B29:B30)</f>
        <v>1</v>
      </c>
      <c r="C31" s="42">
        <f>SUM(C29:C30)</f>
        <v>1</v>
      </c>
      <c r="D31" s="42">
        <f>SUM(D29:D30)</f>
        <v>1</v>
      </c>
      <c r="F31" s="5"/>
      <c r="H31" s="5"/>
      <c r="I31" s="5"/>
      <c r="J31" s="5"/>
    </row>
    <row r="32" spans="1:11" x14ac:dyDescent="0.3">
      <c r="A32" s="1" t="s">
        <v>74</v>
      </c>
      <c r="B32" s="3"/>
      <c r="C32" s="3"/>
      <c r="D32" s="3"/>
      <c r="F32" t="s">
        <v>71</v>
      </c>
    </row>
    <row r="33" spans="1:10" x14ac:dyDescent="0.3">
      <c r="A33" t="s">
        <v>47</v>
      </c>
      <c r="B33" s="41">
        <v>0.39</v>
      </c>
      <c r="C33" s="41">
        <v>0.3</v>
      </c>
      <c r="D33" s="41">
        <v>0.3</v>
      </c>
      <c r="F33" t="s">
        <v>107</v>
      </c>
    </row>
    <row r="34" spans="1:10" x14ac:dyDescent="0.3">
      <c r="A34" t="s">
        <v>48</v>
      </c>
      <c r="B34" s="41">
        <v>0.11</v>
      </c>
      <c r="C34" s="41">
        <v>0.15</v>
      </c>
      <c r="D34" s="41">
        <v>0.15</v>
      </c>
    </row>
    <row r="35" spans="1:10" x14ac:dyDescent="0.3">
      <c r="A35" t="s">
        <v>49</v>
      </c>
      <c r="B35" s="41">
        <v>0.18</v>
      </c>
      <c r="C35" s="41">
        <v>0.15</v>
      </c>
      <c r="D35" s="41">
        <v>0.15</v>
      </c>
    </row>
    <row r="36" spans="1:10" x14ac:dyDescent="0.3">
      <c r="A36" t="s">
        <v>50</v>
      </c>
      <c r="B36" s="43">
        <v>0.32</v>
      </c>
      <c r="C36" s="43">
        <v>0.4</v>
      </c>
      <c r="D36" s="43">
        <v>0.4</v>
      </c>
    </row>
    <row r="37" spans="1:10" x14ac:dyDescent="0.3">
      <c r="A37" s="5"/>
      <c r="B37" s="42">
        <f>SUM(B33:B36)</f>
        <v>1</v>
      </c>
      <c r="C37" s="42">
        <f>SUM(C33:C36)</f>
        <v>1</v>
      </c>
      <c r="D37" s="42">
        <f>SUM(D33:D36)</f>
        <v>1</v>
      </c>
      <c r="F37" s="5"/>
      <c r="H37" s="5"/>
      <c r="I37" s="5"/>
      <c r="J37" s="5"/>
    </row>
    <row r="38" spans="1:10" x14ac:dyDescent="0.3">
      <c r="A38" s="1" t="s">
        <v>219</v>
      </c>
      <c r="B38" s="40"/>
      <c r="C38" s="40"/>
      <c r="D38" s="40"/>
      <c r="F38" t="s">
        <v>76</v>
      </c>
    </row>
    <row r="39" spans="1:10" x14ac:dyDescent="0.3">
      <c r="A39" t="s">
        <v>211</v>
      </c>
      <c r="B39" s="40">
        <f>+B33+B34</f>
        <v>0.5</v>
      </c>
      <c r="C39" s="40">
        <f>+C33+C34</f>
        <v>0.44999999999999996</v>
      </c>
      <c r="D39" s="40">
        <f>+D33+D34</f>
        <v>0.44999999999999996</v>
      </c>
      <c r="F39" t="s">
        <v>75</v>
      </c>
      <c r="H39" t="s">
        <v>214</v>
      </c>
      <c r="I39" t="s">
        <v>216</v>
      </c>
      <c r="J39" t="s">
        <v>217</v>
      </c>
    </row>
    <row r="40" spans="1:10" x14ac:dyDescent="0.3">
      <c r="A40" t="s">
        <v>212</v>
      </c>
      <c r="B40" s="42">
        <f>+B35+B36</f>
        <v>0.5</v>
      </c>
      <c r="C40" s="42">
        <f>+C35+C36</f>
        <v>0.55000000000000004</v>
      </c>
      <c r="D40" s="42">
        <f>+D35+D36</f>
        <v>0.55000000000000004</v>
      </c>
      <c r="F40" t="s">
        <v>78</v>
      </c>
      <c r="H40" t="s">
        <v>213</v>
      </c>
      <c r="I40" t="s">
        <v>215</v>
      </c>
      <c r="J40" t="s">
        <v>218</v>
      </c>
    </row>
    <row r="41" spans="1:10" x14ac:dyDescent="0.3">
      <c r="A41" s="5"/>
      <c r="B41" s="42">
        <f>SUM(B39:B40)</f>
        <v>1</v>
      </c>
      <c r="C41" s="42">
        <f>SUM(C39:C40)</f>
        <v>1</v>
      </c>
      <c r="D41" s="42">
        <f>SUM(D39:D40)</f>
        <v>1</v>
      </c>
      <c r="F41" s="5"/>
      <c r="H41" s="5"/>
      <c r="I41" s="5"/>
      <c r="J41" s="5"/>
    </row>
    <row r="42" spans="1:10" x14ac:dyDescent="0.3">
      <c r="A42" s="1" t="s">
        <v>79</v>
      </c>
      <c r="B42" s="40"/>
      <c r="C42" s="40"/>
      <c r="D42" s="40"/>
      <c r="F42" s="79" t="s">
        <v>226</v>
      </c>
      <c r="H42" s="16"/>
    </row>
    <row r="43" spans="1:10" x14ac:dyDescent="0.3">
      <c r="A43" t="s">
        <v>47</v>
      </c>
      <c r="B43" s="44">
        <f>+'Kostn.líkan - Alls'!H5</f>
        <v>71</v>
      </c>
      <c r="C43" s="44">
        <f>+B43</f>
        <v>71</v>
      </c>
      <c r="D43" s="44">
        <f>+'Kostn.líkan - Alls'!H9</f>
        <v>90</v>
      </c>
      <c r="F43" t="s">
        <v>227</v>
      </c>
      <c r="H43" s="16" t="s">
        <v>101</v>
      </c>
      <c r="J43" t="s">
        <v>103</v>
      </c>
    </row>
    <row r="44" spans="1:10" x14ac:dyDescent="0.3">
      <c r="A44" t="s">
        <v>49</v>
      </c>
      <c r="B44" s="44">
        <f>+'Kostn.líkan - Alls'!H6</f>
        <v>79.499999000000003</v>
      </c>
      <c r="C44" s="44">
        <f t="shared" ref="C44" si="0">+B44</f>
        <v>79.499999000000003</v>
      </c>
      <c r="D44" s="44">
        <f>+'Kostn.líkan - Alls'!H10</f>
        <v>98.499999000000003</v>
      </c>
    </row>
    <row r="45" spans="1:10" x14ac:dyDescent="0.3">
      <c r="A45" t="s">
        <v>184</v>
      </c>
      <c r="B45" s="44">
        <f>+'Kostn.líkan - Alls'!H7</f>
        <v>9</v>
      </c>
      <c r="C45" s="44">
        <f>+'Kostn.líkan - Alls'!H16</f>
        <v>13.5</v>
      </c>
      <c r="D45" s="44">
        <f>+'Kostn.líkan - Alls'!H11</f>
        <v>13</v>
      </c>
      <c r="F45" t="s">
        <v>230</v>
      </c>
    </row>
    <row r="46" spans="1:10" x14ac:dyDescent="0.3">
      <c r="A46" s="1" t="s">
        <v>80</v>
      </c>
      <c r="B46" s="44"/>
      <c r="C46" s="44"/>
      <c r="D46" s="44"/>
      <c r="F46" t="s">
        <v>228</v>
      </c>
      <c r="H46" s="16"/>
    </row>
    <row r="47" spans="1:10" x14ac:dyDescent="0.3">
      <c r="A47" t="s">
        <v>47</v>
      </c>
      <c r="B47" s="85">
        <f>+'Kostn.líkan - Alls'!K5</f>
        <v>27</v>
      </c>
      <c r="C47" s="85">
        <f>+B47</f>
        <v>27</v>
      </c>
      <c r="D47" s="85">
        <f>+'Kostn.líkan - Alls'!K9</f>
        <v>30</v>
      </c>
      <c r="F47" t="s">
        <v>108</v>
      </c>
      <c r="H47" s="16" t="s">
        <v>102</v>
      </c>
      <c r="J47" t="s">
        <v>104</v>
      </c>
    </row>
    <row r="48" spans="1:10" x14ac:dyDescent="0.3">
      <c r="A48" t="s">
        <v>49</v>
      </c>
      <c r="B48" s="85">
        <f>+'Kostn.líkan - Alls'!K6</f>
        <v>31.5</v>
      </c>
      <c r="C48" s="85">
        <f t="shared" ref="C48" si="1">+B48</f>
        <v>31.5</v>
      </c>
      <c r="D48" s="85">
        <f>+'Kostn.líkan - Alls'!K10</f>
        <v>34.5</v>
      </c>
      <c r="F48" t="s">
        <v>109</v>
      </c>
    </row>
    <row r="49" spans="1:10" x14ac:dyDescent="0.3">
      <c r="A49" t="s">
        <v>184</v>
      </c>
      <c r="B49" s="85">
        <f>+'Kostn.líkan - Alls'!K7</f>
        <v>3</v>
      </c>
      <c r="C49" s="85">
        <f>+'Kostn.líkan - Alls'!K16</f>
        <v>4</v>
      </c>
      <c r="D49" s="85">
        <f>+'Kostn.líkan - Alls'!K11</f>
        <v>3</v>
      </c>
      <c r="F49" s="11"/>
      <c r="H49" s="11"/>
      <c r="I49" s="11"/>
      <c r="J49" s="11"/>
    </row>
    <row r="50" spans="1:10" s="11" customFormat="1" x14ac:dyDescent="0.3">
      <c r="A50" s="8" t="s">
        <v>117</v>
      </c>
      <c r="B50" s="97"/>
      <c r="C50" s="97"/>
      <c r="D50" s="97"/>
    </row>
    <row r="51" spans="1:10" s="11" customFormat="1" x14ac:dyDescent="0.3">
      <c r="A51" t="s">
        <v>47</v>
      </c>
      <c r="B51" s="85">
        <f>+'Kostn.líkan - Alls'!N5</f>
        <v>18</v>
      </c>
      <c r="C51" s="85">
        <f>+B51</f>
        <v>18</v>
      </c>
      <c r="D51" s="85">
        <f>+'Kostn.líkan - Alls'!N9</f>
        <v>18</v>
      </c>
      <c r="H51" s="16" t="s">
        <v>249</v>
      </c>
    </row>
    <row r="52" spans="1:10" s="11" customFormat="1" x14ac:dyDescent="0.3">
      <c r="A52" t="s">
        <v>49</v>
      </c>
      <c r="B52" s="85">
        <f>+'Kostn.líkan - Alls'!N6</f>
        <v>18</v>
      </c>
      <c r="C52" s="85">
        <f>+B52</f>
        <v>18</v>
      </c>
      <c r="D52" s="85">
        <f>+'Kostn.líkan - Alls'!N10</f>
        <v>18</v>
      </c>
    </row>
    <row r="53" spans="1:10" s="11" customFormat="1" x14ac:dyDescent="0.3">
      <c r="A53" s="5" t="s">
        <v>184</v>
      </c>
      <c r="B53" s="77">
        <f>+'Kostn.líkan - Alls'!N7</f>
        <v>1</v>
      </c>
      <c r="C53" s="77">
        <f>+'Kostn.líkan - Alls'!N16</f>
        <v>1</v>
      </c>
      <c r="D53" s="77">
        <f>+'Kostn.líkan - Alls'!N11</f>
        <v>1</v>
      </c>
      <c r="F53" s="5"/>
      <c r="G53" s="5"/>
      <c r="H53" s="5"/>
      <c r="I53" s="5"/>
      <c r="J53" s="5"/>
    </row>
    <row r="54" spans="1:10" x14ac:dyDescent="0.3">
      <c r="A54" s="1" t="s">
        <v>110</v>
      </c>
      <c r="B54" s="40"/>
      <c r="C54" s="40"/>
      <c r="D54" s="40"/>
      <c r="F54" s="79" t="s">
        <v>226</v>
      </c>
    </row>
    <row r="55" spans="1:10" x14ac:dyDescent="0.3">
      <c r="A55" t="s">
        <v>47</v>
      </c>
      <c r="B55" s="60">
        <f>+'Kostn.líkan - Alls'!I5</f>
        <v>3.7927349843852737E-2</v>
      </c>
      <c r="C55" s="60">
        <f>+B55</f>
        <v>3.7927349843852737E-2</v>
      </c>
      <c r="D55" s="9">
        <f>+'Kostn.líkan - Alls'!I9</f>
        <v>4.8076922337278116E-2</v>
      </c>
      <c r="F55" t="s">
        <v>229</v>
      </c>
      <c r="H55" t="s">
        <v>95</v>
      </c>
      <c r="J55" t="s">
        <v>105</v>
      </c>
    </row>
    <row r="56" spans="1:10" x14ac:dyDescent="0.3">
      <c r="A56" t="s">
        <v>49</v>
      </c>
      <c r="B56" s="60">
        <f>+'Kostn.líkan - Alls'!I6</f>
        <v>4.246794753040764E-2</v>
      </c>
      <c r="C56" s="60">
        <f>+B56</f>
        <v>4.246794753040764E-2</v>
      </c>
      <c r="D56" s="9">
        <f>+'Kostn.líkan - Alls'!I10</f>
        <v>5.2617520023833027E-2</v>
      </c>
    </row>
    <row r="57" spans="1:10" x14ac:dyDescent="0.3">
      <c r="A57" t="s">
        <v>184</v>
      </c>
      <c r="B57" s="60">
        <f>+'Kostn.líkan - Alls'!I7</f>
        <v>4.8076922337278111E-3</v>
      </c>
      <c r="C57" s="60">
        <f>+'Kostn.líkan - Alls'!I16</f>
        <v>7.2115383505917171E-3</v>
      </c>
      <c r="D57" s="9">
        <f>+'Kostn.líkan - Alls'!I11</f>
        <v>6.9444443376068385E-3</v>
      </c>
    </row>
    <row r="58" spans="1:10" x14ac:dyDescent="0.3">
      <c r="A58" s="1" t="s">
        <v>111</v>
      </c>
      <c r="B58" s="44"/>
      <c r="C58" s="44"/>
      <c r="D58" s="44"/>
      <c r="F58" t="s">
        <v>230</v>
      </c>
    </row>
    <row r="59" spans="1:10" x14ac:dyDescent="0.3">
      <c r="A59" t="s">
        <v>47</v>
      </c>
      <c r="B59" s="60">
        <f>+'Kostn.líkan - Alls'!L5</f>
        <v>1.4423076701183434E-2</v>
      </c>
      <c r="C59" s="98">
        <f>+B59</f>
        <v>1.4423076701183434E-2</v>
      </c>
      <c r="D59" s="60">
        <f>+'Kostn.líkan - Alls'!L9</f>
        <v>1.6025640779092704E-2</v>
      </c>
      <c r="F59" t="s">
        <v>228</v>
      </c>
      <c r="H59" t="s">
        <v>96</v>
      </c>
      <c r="J59" t="s">
        <v>106</v>
      </c>
    </row>
    <row r="60" spans="1:10" x14ac:dyDescent="0.3">
      <c r="A60" t="s">
        <v>49</v>
      </c>
      <c r="B60" s="60">
        <f>+'Kostn.líkan - Alls'!L6</f>
        <v>1.6826922818047339E-2</v>
      </c>
      <c r="C60" s="98">
        <f>+B60</f>
        <v>1.6826922818047339E-2</v>
      </c>
      <c r="D60" s="60">
        <f>+'Kostn.líkan - Alls'!L10</f>
        <v>1.8429486895956609E-2</v>
      </c>
      <c r="F60" t="s">
        <v>108</v>
      </c>
    </row>
    <row r="61" spans="1:10" s="11" customFormat="1" x14ac:dyDescent="0.3">
      <c r="A61" t="s">
        <v>184</v>
      </c>
      <c r="B61" s="60">
        <f>+'Kostn.líkan - Alls'!L7</f>
        <v>1.6025640779092705E-3</v>
      </c>
      <c r="C61" s="98">
        <f>+'Kostn.líkan - Alls'!L16</f>
        <v>2.1367521038790274E-3</v>
      </c>
      <c r="D61" s="60">
        <f>+'Kostn.líkan - Alls'!L11</f>
        <v>1.6025640779092705E-3</v>
      </c>
      <c r="F61" t="s">
        <v>109</v>
      </c>
    </row>
    <row r="62" spans="1:10" s="11" customFormat="1" x14ac:dyDescent="0.3">
      <c r="A62" s="8" t="s">
        <v>118</v>
      </c>
      <c r="B62" s="97"/>
      <c r="C62" s="97"/>
      <c r="D62" s="97"/>
    </row>
    <row r="63" spans="1:10" s="11" customFormat="1" x14ac:dyDescent="0.3">
      <c r="A63" t="s">
        <v>47</v>
      </c>
      <c r="B63" s="261">
        <f>+'Kostn.líkan - Alls'!O5</f>
        <v>9.6153844674556222E-3</v>
      </c>
      <c r="C63" s="261">
        <f>+B63</f>
        <v>9.6153844674556222E-3</v>
      </c>
      <c r="D63" s="261">
        <f>+'Kostn.líkan - Alls'!O9</f>
        <v>9.6153844674556222E-3</v>
      </c>
    </row>
    <row r="64" spans="1:10" s="11" customFormat="1" x14ac:dyDescent="0.3">
      <c r="A64" t="s">
        <v>49</v>
      </c>
      <c r="B64" s="261">
        <f>+'Kostn.líkan - Alls'!O6</f>
        <v>9.6153844674556222E-3</v>
      </c>
      <c r="C64" s="261">
        <f>+B64</f>
        <v>9.6153844674556222E-3</v>
      </c>
      <c r="D64" s="261">
        <f>+'Kostn.líkan - Alls'!O10</f>
        <v>9.6153844674556222E-3</v>
      </c>
    </row>
    <row r="65" spans="1:10" x14ac:dyDescent="0.3">
      <c r="A65" s="5" t="s">
        <v>184</v>
      </c>
      <c r="B65" s="102">
        <f>+'Kostn.líkan - Alls'!O7</f>
        <v>5.3418802596975684E-4</v>
      </c>
      <c r="C65" s="102">
        <f>+'Kostn.líkan - Alls'!O16</f>
        <v>5.3418802596975684E-4</v>
      </c>
      <c r="D65" s="102">
        <f>+'Kostn.líkan - Alls'!O11</f>
        <v>5.3418802596975684E-4</v>
      </c>
      <c r="F65" s="5"/>
      <c r="G65" s="5"/>
      <c r="H65" s="5"/>
      <c r="I65" s="5"/>
      <c r="J65" s="5"/>
    </row>
    <row r="66" spans="1:10" s="1" customFormat="1" x14ac:dyDescent="0.3">
      <c r="A66" s="1" t="s">
        <v>62</v>
      </c>
      <c r="F66" s="14"/>
      <c r="G66" s="8"/>
    </row>
    <row r="67" spans="1:10" x14ac:dyDescent="0.3">
      <c r="A67" t="s">
        <v>47</v>
      </c>
      <c r="B67" s="32">
        <f>+B43/$B$43</f>
        <v>1</v>
      </c>
      <c r="C67" s="32">
        <f>+C43/$B$43</f>
        <v>1</v>
      </c>
      <c r="D67" s="32">
        <f>+D43/$B$43</f>
        <v>1.267605633802817</v>
      </c>
      <c r="H67" t="s">
        <v>97</v>
      </c>
      <c r="J67" t="s">
        <v>246</v>
      </c>
    </row>
    <row r="68" spans="1:10" x14ac:dyDescent="0.3">
      <c r="A68" t="s">
        <v>49</v>
      </c>
      <c r="B68" s="32">
        <f t="shared" ref="B68:D69" si="2">+B44/$B$43</f>
        <v>1.1197182957746479</v>
      </c>
      <c r="C68" s="32">
        <f t="shared" si="2"/>
        <v>1.1197182957746479</v>
      </c>
      <c r="D68" s="32">
        <f t="shared" si="2"/>
        <v>1.3873239295774649</v>
      </c>
    </row>
    <row r="69" spans="1:10" x14ac:dyDescent="0.3">
      <c r="A69" t="s">
        <v>184</v>
      </c>
      <c r="B69" s="32">
        <f t="shared" si="2"/>
        <v>0.12676056338028169</v>
      </c>
      <c r="C69" s="32">
        <f t="shared" si="2"/>
        <v>0.19014084507042253</v>
      </c>
      <c r="D69" s="32">
        <f t="shared" si="2"/>
        <v>0.18309859154929578</v>
      </c>
    </row>
    <row r="70" spans="1:10" x14ac:dyDescent="0.3">
      <c r="A70" s="1" t="s">
        <v>63</v>
      </c>
      <c r="D70" s="32"/>
    </row>
    <row r="71" spans="1:10" x14ac:dyDescent="0.3">
      <c r="A71" t="s">
        <v>47</v>
      </c>
      <c r="B71" s="32">
        <f>+B47/$B$47</f>
        <v>1</v>
      </c>
      <c r="C71" s="32">
        <f t="shared" ref="C71:D71" si="3">+C47/$B$47</f>
        <v>1</v>
      </c>
      <c r="D71" s="32">
        <f t="shared" si="3"/>
        <v>1.1111111111111112</v>
      </c>
      <c r="H71" t="s">
        <v>98</v>
      </c>
      <c r="J71" t="s">
        <v>245</v>
      </c>
    </row>
    <row r="72" spans="1:10" x14ac:dyDescent="0.3">
      <c r="A72" t="s">
        <v>49</v>
      </c>
      <c r="B72" s="32">
        <f t="shared" ref="B72:C72" si="4">+B48/$B$47</f>
        <v>1.1666666666666667</v>
      </c>
      <c r="C72" s="32">
        <f t="shared" si="4"/>
        <v>1.1666666666666667</v>
      </c>
      <c r="D72" s="32">
        <f>+D48/$B$47</f>
        <v>1.2777777777777777</v>
      </c>
    </row>
    <row r="73" spans="1:10" s="11" customFormat="1" x14ac:dyDescent="0.3">
      <c r="A73" t="s">
        <v>184</v>
      </c>
      <c r="B73" s="32">
        <f t="shared" ref="B73:C73" si="5">+B49/$B$47</f>
        <v>0.1111111111111111</v>
      </c>
      <c r="C73" s="32">
        <f t="shared" si="5"/>
        <v>0.14814814814814814</v>
      </c>
      <c r="D73" s="32">
        <f>+D49/$B$47</f>
        <v>0.1111111111111111</v>
      </c>
    </row>
    <row r="74" spans="1:10" x14ac:dyDescent="0.3">
      <c r="A74" s="1" t="s">
        <v>115</v>
      </c>
      <c r="B74" s="97"/>
      <c r="C74" s="97"/>
      <c r="D74" s="32"/>
      <c r="F74" s="11"/>
      <c r="H74" s="11"/>
      <c r="I74" s="11"/>
      <c r="J74" s="11"/>
    </row>
    <row r="75" spans="1:10" x14ac:dyDescent="0.3">
      <c r="A75" t="s">
        <v>47</v>
      </c>
      <c r="B75" s="97">
        <f>+B51/$B$51</f>
        <v>1</v>
      </c>
      <c r="C75" s="97">
        <f t="shared" ref="C75:D75" si="6">+C51/$B$51</f>
        <v>1</v>
      </c>
      <c r="D75" s="97">
        <f t="shared" si="6"/>
        <v>1</v>
      </c>
      <c r="F75" s="11"/>
      <c r="H75" t="s">
        <v>243</v>
      </c>
      <c r="I75" s="11"/>
      <c r="J75" s="11" t="s">
        <v>244</v>
      </c>
    </row>
    <row r="76" spans="1:10" x14ac:dyDescent="0.3">
      <c r="A76" t="s">
        <v>49</v>
      </c>
      <c r="B76" s="97">
        <f t="shared" ref="B76:D76" si="7">+B52/$B$51</f>
        <v>1</v>
      </c>
      <c r="C76" s="97">
        <f t="shared" si="7"/>
        <v>1</v>
      </c>
      <c r="D76" s="97">
        <f t="shared" si="7"/>
        <v>1</v>
      </c>
      <c r="F76" s="11"/>
      <c r="H76" s="11"/>
      <c r="I76" s="11"/>
      <c r="J76" s="11"/>
    </row>
    <row r="77" spans="1:10" x14ac:dyDescent="0.3">
      <c r="A77" s="5" t="s">
        <v>184</v>
      </c>
      <c r="B77" s="78">
        <f t="shared" ref="B77:D77" si="8">+B53/$B$51</f>
        <v>5.5555555555555552E-2</v>
      </c>
      <c r="C77" s="78">
        <f t="shared" si="8"/>
        <v>5.5555555555555552E-2</v>
      </c>
      <c r="D77" s="78">
        <f t="shared" si="8"/>
        <v>5.5555555555555552E-2</v>
      </c>
      <c r="F77" s="5"/>
      <c r="G77" s="5"/>
      <c r="H77" s="5"/>
      <c r="I77" s="5"/>
      <c r="J77" s="5"/>
    </row>
    <row r="78" spans="1:10" x14ac:dyDescent="0.3">
      <c r="A78" s="81" t="s">
        <v>83</v>
      </c>
      <c r="B78" s="81"/>
      <c r="C78" s="81"/>
      <c r="D78" s="81"/>
      <c r="E78" s="1"/>
      <c r="F78" s="14"/>
    </row>
    <row r="79" spans="1:10" x14ac:dyDescent="0.3">
      <c r="A79" t="s">
        <v>47</v>
      </c>
      <c r="B79" s="82">
        <f t="shared" ref="B79:D81" si="9">+B43*LaunKlst</f>
        <v>485088.16368959995</v>
      </c>
      <c r="C79" s="82">
        <f t="shared" si="9"/>
        <v>485088.16368959995</v>
      </c>
      <c r="D79" s="82">
        <f t="shared" si="9"/>
        <v>614900.48918399995</v>
      </c>
      <c r="H79" t="s">
        <v>99</v>
      </c>
      <c r="J79" t="s">
        <v>242</v>
      </c>
    </row>
    <row r="80" spans="1:10" x14ac:dyDescent="0.3">
      <c r="A80" t="s">
        <v>49</v>
      </c>
      <c r="B80" s="82">
        <f t="shared" si="9"/>
        <v>543162.0919469723</v>
      </c>
      <c r="C80" s="82">
        <f t="shared" si="9"/>
        <v>543162.0919469723</v>
      </c>
      <c r="D80" s="82">
        <f t="shared" si="9"/>
        <v>672974.41744137229</v>
      </c>
    </row>
    <row r="81" spans="1:10" x14ac:dyDescent="0.3">
      <c r="A81" t="s">
        <v>184</v>
      </c>
      <c r="B81" s="82">
        <f t="shared" si="9"/>
        <v>61490.048918399996</v>
      </c>
      <c r="C81" s="82">
        <f t="shared" si="9"/>
        <v>92235.073377599998</v>
      </c>
      <c r="D81" s="82">
        <f t="shared" si="9"/>
        <v>88818.95954879999</v>
      </c>
    </row>
    <row r="82" spans="1:10" x14ac:dyDescent="0.3">
      <c r="A82" s="81" t="s">
        <v>84</v>
      </c>
      <c r="B82" s="82"/>
      <c r="C82" s="82"/>
      <c r="D82" s="82"/>
    </row>
    <row r="83" spans="1:10" x14ac:dyDescent="0.3">
      <c r="A83" t="s">
        <v>47</v>
      </c>
      <c r="B83" s="82">
        <f t="shared" ref="B83:D85" si="10">+B47*LaunKlst</f>
        <v>184470.1467552</v>
      </c>
      <c r="C83" s="82">
        <f t="shared" si="10"/>
        <v>184470.1467552</v>
      </c>
      <c r="D83" s="82">
        <f t="shared" si="10"/>
        <v>204966.82972799998</v>
      </c>
      <c r="H83" t="s">
        <v>100</v>
      </c>
      <c r="J83" t="s">
        <v>241</v>
      </c>
    </row>
    <row r="84" spans="1:10" x14ac:dyDescent="0.3">
      <c r="A84" t="s">
        <v>49</v>
      </c>
      <c r="B84" s="82">
        <f t="shared" si="10"/>
        <v>215215.17121439998</v>
      </c>
      <c r="C84" s="82">
        <f t="shared" si="10"/>
        <v>215215.17121439998</v>
      </c>
      <c r="D84" s="82">
        <f t="shared" si="10"/>
        <v>235711.85418719999</v>
      </c>
    </row>
    <row r="85" spans="1:10" s="11" customFormat="1" x14ac:dyDescent="0.3">
      <c r="A85" t="s">
        <v>184</v>
      </c>
      <c r="B85" s="82">
        <f t="shared" si="10"/>
        <v>20496.682972799998</v>
      </c>
      <c r="C85" s="82">
        <f t="shared" si="10"/>
        <v>27328.910630399998</v>
      </c>
      <c r="D85" s="82">
        <f t="shared" si="10"/>
        <v>20496.682972799998</v>
      </c>
    </row>
    <row r="86" spans="1:10" x14ac:dyDescent="0.3">
      <c r="A86" s="1" t="s">
        <v>116</v>
      </c>
      <c r="B86" s="82"/>
      <c r="C86" s="82"/>
      <c r="D86" s="82"/>
      <c r="F86" s="11"/>
      <c r="H86" s="11"/>
      <c r="I86" s="11"/>
      <c r="J86" s="11"/>
    </row>
    <row r="87" spans="1:10" x14ac:dyDescent="0.3">
      <c r="A87" t="s">
        <v>47</v>
      </c>
      <c r="B87" s="82">
        <f t="shared" ref="B87:D89" si="11">+B51*LaunKlst</f>
        <v>122980.09783679999</v>
      </c>
      <c r="C87" s="82">
        <f t="shared" si="11"/>
        <v>122980.09783679999</v>
      </c>
      <c r="D87" s="82">
        <f t="shared" si="11"/>
        <v>122980.09783679999</v>
      </c>
      <c r="F87" s="11"/>
      <c r="H87" t="s">
        <v>240</v>
      </c>
      <c r="I87" s="11"/>
      <c r="J87" s="11" t="s">
        <v>247</v>
      </c>
    </row>
    <row r="88" spans="1:10" x14ac:dyDescent="0.3">
      <c r="A88" t="s">
        <v>49</v>
      </c>
      <c r="B88" s="82">
        <f t="shared" si="11"/>
        <v>122980.09783679999</v>
      </c>
      <c r="C88" s="82">
        <f t="shared" si="11"/>
        <v>122980.09783679999</v>
      </c>
      <c r="D88" s="82">
        <f t="shared" si="11"/>
        <v>122980.09783679999</v>
      </c>
      <c r="F88" s="11"/>
      <c r="H88" s="11"/>
      <c r="I88" s="11"/>
      <c r="J88" s="11"/>
    </row>
    <row r="89" spans="1:10" x14ac:dyDescent="0.3">
      <c r="A89" s="5" t="s">
        <v>184</v>
      </c>
      <c r="B89" s="84">
        <f t="shared" si="11"/>
        <v>6832.2276575999995</v>
      </c>
      <c r="C89" s="84">
        <f t="shared" si="11"/>
        <v>6832.2276575999995</v>
      </c>
      <c r="D89" s="84">
        <f t="shared" si="11"/>
        <v>6832.2276575999995</v>
      </c>
      <c r="F89" s="5"/>
      <c r="G89" s="5"/>
      <c r="H89" s="5"/>
      <c r="I89" s="5"/>
      <c r="J89" s="5"/>
    </row>
    <row r="92" spans="1:10" x14ac:dyDescent="0.3">
      <c r="D92" s="121"/>
    </row>
  </sheetData>
  <hyperlinks>
    <hyperlink ref="F1" r:id="rId1" xr:uid="{481A5D50-27CC-4B01-AE10-CED84B7B9CD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25</vt:i4>
      </vt:variant>
    </vt:vector>
  </HeadingPairs>
  <TitlesOfParts>
    <vt:vector size="33" baseType="lpstr">
      <vt:lpstr>Flokkun</vt:lpstr>
      <vt:lpstr>Sérstök umsýsla</vt:lpstr>
      <vt:lpstr>Kostn.líkan - Sundurliðun</vt:lpstr>
      <vt:lpstr>Kostn.líkan - Samandregið</vt:lpstr>
      <vt:lpstr>Kostn.líkan - Alls</vt:lpstr>
      <vt:lpstr>Uppgjör</vt:lpstr>
      <vt:lpstr>Kostnaður Áætlun</vt:lpstr>
      <vt:lpstr>Forsendur Áætlun</vt:lpstr>
      <vt:lpstr>ALEinst</vt:lpstr>
      <vt:lpstr>ALFull</vt:lpstr>
      <vt:lpstr>ALHjon</vt:lpstr>
      <vt:lpstr>Ar1AL</vt:lpstr>
      <vt:lpstr>Ar1FJ</vt:lpstr>
      <vt:lpstr>Ar1Kv</vt:lpstr>
      <vt:lpstr>FJEinst</vt:lpstr>
      <vt:lpstr>FJFull</vt:lpstr>
      <vt:lpstr>FJHjon</vt:lpstr>
      <vt:lpstr>FjMala_Ar1</vt:lpstr>
      <vt:lpstr>FjMala_Ar2</vt:lpstr>
      <vt:lpstr>FjMala_Ar3</vt:lpstr>
      <vt:lpstr>GrPrFjolsk_Ar1</vt:lpstr>
      <vt:lpstr>GrPrFjolsk_Ar2</vt:lpstr>
      <vt:lpstr>GrPrFjolsk_Ar3</vt:lpstr>
      <vt:lpstr>KVEinst</vt:lpstr>
      <vt:lpstr>KVFull</vt:lpstr>
      <vt:lpstr>KVHjon</vt:lpstr>
      <vt:lpstr>LaunKlst</vt:lpstr>
      <vt:lpstr>Starfshlutf_Ar1</vt:lpstr>
      <vt:lpstr>Starfshlutf_Ar2</vt:lpstr>
      <vt:lpstr>VinnustPrFjolsk_Ar1</vt:lpstr>
      <vt:lpstr>VinnustPrFjolsk_Ar2</vt:lpstr>
      <vt:lpstr>VinnustPrFjolsk_Ar3</vt:lpstr>
      <vt:lpstr>VirkarVinnustPrMan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Arnina Bjorg Einarsdottir</cp:lastModifiedBy>
  <cp:lastPrinted>2019-10-15T11:16:15Z</cp:lastPrinted>
  <dcterms:created xsi:type="dcterms:W3CDTF">2019-09-17T14:25:36Z</dcterms:created>
  <dcterms:modified xsi:type="dcterms:W3CDTF">2022-06-19T21:36:50Z</dcterms:modified>
</cp:coreProperties>
</file>